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kcelaya\Downloads\"/>
    </mc:Choice>
  </mc:AlternateContent>
  <xr:revisionPtr revIDLastSave="0" documentId="13_ncr:1_{1D076FD6-E484-41A9-8A5F-C33C7FB02769}" xr6:coauthVersionLast="47" xr6:coauthVersionMax="47" xr10:uidLastSave="{00000000-0000-0000-0000-000000000000}"/>
  <workbookProtection workbookAlgorithmName="SHA-512" workbookHashValue="xjgNGyCJRCdsdEg+pTNaC4njVmtL4SRmN4jZpbc4PR839eoFhA+Twim0ZN63bBG2wx49n9IAsuK1rzqTizNx8g==" workbookSaltValue="ezp7Xue0LST2KUT8/iLMsg==" workbookSpinCount="100000" lockStructure="1"/>
  <bookViews>
    <workbookView xWindow="-120" yWindow="-120" windowWidth="29040" windowHeight="15720" tabRatio="720" activeTab="7"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xlnm._FilterDatabase" localSheetId="10" hidden="1">Instructions!$D$1:$D$43</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Instructions!$A$1:$C$42</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2c">Instructions!$C$35</definedName>
    <definedName name="ProjectBalancesLine3a">Instructions!$C$36</definedName>
    <definedName name="ProjectBalancesLine3b">Instructions!$C$37</definedName>
    <definedName name="ProjectBalancesLine4a">Instructions!$C$38</definedName>
    <definedName name="ProjectBalancesLine4b">Instructions!$C$39</definedName>
    <definedName name="ProjectBalancesLine4c">Instructions!$C$40</definedName>
    <definedName name="ProjectBalancesLine4d">Instructions!$C$41</definedName>
    <definedName name="ProjectBalancesLine5">Instructions!$C$42</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2" l="1"/>
  <c r="L44" i="2" l="1"/>
  <c r="L48" i="2"/>
  <c r="K48" i="2"/>
  <c r="G44" i="2"/>
  <c r="G13" i="2"/>
  <c r="G10" i="2"/>
  <c r="K39" i="2"/>
  <c r="L39" i="2"/>
  <c r="M38" i="11" l="1" a="1"/>
  <c r="M38" i="11" s="1"/>
  <c r="M42" i="11" a="1"/>
  <c r="M42" i="11" s="1"/>
  <c r="F42" i="11" a="1"/>
  <c r="F42" i="11" s="1"/>
  <c r="M16" i="11" a="1"/>
  <c r="M16" i="11" s="1"/>
  <c r="F11" i="11" a="1"/>
  <c r="F11" i="11" s="1"/>
  <c r="M12" i="11" a="1"/>
  <c r="M12" i="11" s="1"/>
  <c r="M14" i="11" a="1"/>
  <c r="M14" i="11" s="1"/>
  <c r="F9" i="11" a="1"/>
  <c r="F9" i="11" s="1"/>
  <c r="F16" i="11" a="1"/>
  <c r="F16" i="11" s="1"/>
  <c r="F12" i="11" a="1"/>
  <c r="F12" i="11" s="1"/>
  <c r="F14" i="11" a="1"/>
  <c r="F14" i="11" s="1"/>
  <c r="F33" i="11" a="1"/>
  <c r="F33" i="11" s="1"/>
  <c r="F38" i="11" a="1"/>
  <c r="F38" i="11" s="1"/>
  <c r="M37" i="11" a="1"/>
  <c r="M37" i="11" s="1"/>
  <c r="F37" i="11" a="1"/>
  <c r="F37" i="11" s="1"/>
  <c r="M36" i="11" a="1"/>
  <c r="M36" i="11" s="1"/>
  <c r="F36" i="11" a="1"/>
  <c r="F36" i="11" s="1"/>
  <c r="M35" i="11" a="1"/>
  <c r="M35" i="11" s="1"/>
  <c r="F35" i="11" a="1"/>
  <c r="F35" i="11" s="1"/>
  <c r="M34" i="11" a="1"/>
  <c r="M34" i="11" s="1"/>
  <c r="F34" i="11" a="1"/>
  <c r="F34" i="11" s="1"/>
  <c r="M22" i="11" a="1"/>
  <c r="M22" i="11" s="1"/>
  <c r="M13" i="11" a="1"/>
  <c r="M13" i="11" s="1"/>
  <c r="M17" i="11" a="1"/>
  <c r="M17" i="11" s="1"/>
  <c r="F32" i="11" a="1"/>
  <c r="F32" i="11" s="1"/>
  <c r="M15" i="11" a="1"/>
  <c r="M15" i="11" s="1"/>
  <c r="M33" i="11" a="1"/>
  <c r="M33" i="11" s="1"/>
  <c r="M32" i="11" a="1"/>
  <c r="M32" i="11" s="1"/>
  <c r="M30" i="11" a="1"/>
  <c r="M30" i="11" s="1"/>
  <c r="F30" i="11" a="1"/>
  <c r="F30" i="11" s="1"/>
  <c r="M21" i="11" a="1"/>
  <c r="M21" i="11" s="1"/>
  <c r="F21" i="11" a="1"/>
  <c r="F21" i="11" s="1"/>
  <c r="F13" i="11" a="1"/>
  <c r="F13" i="11" s="1"/>
  <c r="M11" i="11" a="1"/>
  <c r="M11" i="11" s="1"/>
  <c r="M9" i="11" a="1"/>
  <c r="M9" i="11" s="1"/>
  <c r="F17" i="11" a="1"/>
  <c r="F17" i="11" s="1"/>
  <c r="F15" i="11" a="1"/>
  <c r="F15" i="11" s="1"/>
  <c r="J13" i="9" a="1"/>
  <c r="J13" i="9" s="1"/>
  <c r="J8" i="9" a="1"/>
  <c r="J8" i="9" s="1"/>
  <c r="J12" i="9" a="1"/>
  <c r="J12" i="9" s="1"/>
  <c r="J11" i="9" a="1"/>
  <c r="J11" i="9" s="1"/>
  <c r="J10" i="9" a="1"/>
  <c r="J10" i="9" s="1"/>
  <c r="J9" i="9" a="1"/>
  <c r="J9" i="9" s="1"/>
  <c r="D34" i="3"/>
  <c r="D31" i="3"/>
  <c r="M5" i="3"/>
  <c r="D40" i="3" a="1"/>
  <c r="D40" i="3" s="1"/>
  <c r="M14" i="3" a="1"/>
  <c r="M14" i="3" s="1"/>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8" i="2"/>
  <c r="K47" i="2"/>
  <c r="K46" i="2"/>
  <c r="K45" i="2"/>
  <c r="K44" i="2"/>
  <c r="K42" i="2"/>
  <c r="K41" i="2"/>
  <c r="K40" i="2"/>
  <c r="K36" i="2"/>
  <c r="K35" i="2"/>
  <c r="K34" i="2"/>
  <c r="K33" i="2"/>
  <c r="K32" i="2"/>
  <c r="K31" i="2"/>
  <c r="K30" i="2"/>
  <c r="K29" i="2"/>
  <c r="K28" i="2"/>
  <c r="K27" i="2"/>
  <c r="K25" i="2"/>
  <c r="K22" i="2"/>
  <c r="K21" i="2"/>
  <c r="K20" i="2"/>
  <c r="K19" i="2"/>
  <c r="K18" i="2"/>
  <c r="K17" i="2"/>
  <c r="K16" i="2"/>
  <c r="K15" i="2"/>
  <c r="K14" i="2"/>
  <c r="K13" i="2"/>
  <c r="K12" i="2"/>
  <c r="K11" i="2"/>
  <c r="K10" i="2"/>
  <c r="R6" i="1" l="1"/>
  <c r="C26" i="22"/>
  <c r="C16" i="22"/>
  <c r="C19" i="22"/>
  <c r="J6" i="18" l="1" a="1"/>
  <c r="H50" i="21" l="1"/>
  <c r="F73" i="16" l="1"/>
  <c r="F74" i="16"/>
  <c r="F72" i="16"/>
  <c r="G72" i="16"/>
  <c r="H3" i="12"/>
  <c r="A1" i="12"/>
  <c r="H55" i="21" l="1"/>
  <c r="H54" i="21"/>
  <c r="E59" i="21" s="1"/>
  <c r="E51"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C19" i="21"/>
  <c r="B19" i="21"/>
  <c r="H18" i="21"/>
  <c r="G18" i="21"/>
  <c r="F18" i="21"/>
  <c r="D18" i="21"/>
  <c r="C18" i="21"/>
  <c r="B18" i="21"/>
  <c r="H17" i="21"/>
  <c r="G17" i="21"/>
  <c r="F17" i="21"/>
  <c r="D17" i="21"/>
  <c r="G44" i="21" s="1"/>
  <c r="C17" i="21"/>
  <c r="E44" i="21" s="1"/>
  <c r="B17" i="21"/>
  <c r="H16" i="21"/>
  <c r="G16" i="21"/>
  <c r="F16" i="21"/>
  <c r="D16" i="21"/>
  <c r="C16" i="21"/>
  <c r="B16" i="21"/>
  <c r="D10" i="21"/>
  <c r="C10" i="21"/>
  <c r="B10" i="21"/>
  <c r="G67" i="21" s="1"/>
  <c r="G69" i="21" s="1"/>
  <c r="D9" i="21"/>
  <c r="D11" i="21" s="1"/>
  <c r="C9" i="21"/>
  <c r="C11" i="21" s="1"/>
  <c r="B9" i="21"/>
  <c r="B8" i="21"/>
  <c r="A3" i="21"/>
  <c r="A61" i="21" s="1"/>
  <c r="I1" i="21"/>
  <c r="E1" i="21"/>
  <c r="B1" i="21"/>
  <c r="F75" i="16"/>
  <c r="N74" i="16" s="1"/>
  <c r="G74" i="16"/>
  <c r="G73" i="16"/>
  <c r="G75" i="16" s="1"/>
  <c r="N75" i="16" s="1"/>
  <c r="N57" i="16"/>
  <c r="L57" i="16"/>
  <c r="N37" i="16"/>
  <c r="N38" i="16" s="1"/>
  <c r="L37" i="16"/>
  <c r="L42" i="16" s="1"/>
  <c r="N12" i="16"/>
  <c r="N17" i="16" s="1"/>
  <c r="L12" i="16"/>
  <c r="L17" i="16" s="1"/>
  <c r="L1" i="16"/>
  <c r="I1" i="16"/>
  <c r="E1" i="16"/>
  <c r="K75" i="18"/>
  <c r="J75" i="18"/>
  <c r="I75" i="18"/>
  <c r="L50" i="18"/>
  <c r="N45" i="16" s="1"/>
  <c r="I50" i="18"/>
  <c r="L45" i="16" s="1"/>
  <c r="G50" i="18"/>
  <c r="L41" i="18"/>
  <c r="N20" i="16" s="1"/>
  <c r="I41" i="18"/>
  <c r="L20" i="16" s="1"/>
  <c r="G41" i="18"/>
  <c r="J31" i="18"/>
  <c r="J30" i="18"/>
  <c r="J29" i="18"/>
  <c r="A27" i="18"/>
  <c r="N58" i="16" s="1"/>
  <c r="P1" i="18"/>
  <c r="L1" i="18"/>
  <c r="E1" i="18"/>
  <c r="H1" i="22"/>
  <c r="E1" i="22"/>
  <c r="B1" i="22"/>
  <c r="H41" i="12"/>
  <c r="E40" i="12"/>
  <c r="L39" i="12"/>
  <c r="E39" i="12"/>
  <c r="L38" i="12"/>
  <c r="E38" i="12"/>
  <c r="L37" i="12"/>
  <c r="M35" i="12" s="1"/>
  <c r="D37" i="12"/>
  <c r="D31" i="12"/>
  <c r="F31" i="12" s="1"/>
  <c r="E29" i="12"/>
  <c r="D29" i="12"/>
  <c r="F29" i="12" s="1"/>
  <c r="D27" i="12"/>
  <c r="F27" i="12" s="1"/>
  <c r="D23" i="12"/>
  <c r="E20" i="12"/>
  <c r="E19" i="12"/>
  <c r="L18" i="12"/>
  <c r="L17" i="12"/>
  <c r="L16" i="12"/>
  <c r="L15" i="12"/>
  <c r="K15" i="12"/>
  <c r="M15" i="12" s="1"/>
  <c r="L14" i="12"/>
  <c r="L13" i="12"/>
  <c r="D13" i="12"/>
  <c r="L12" i="12"/>
  <c r="L19" i="12" s="1"/>
  <c r="D11" i="12"/>
  <c r="D6" i="12"/>
  <c r="L1" i="12"/>
  <c r="L43" i="11"/>
  <c r="K43" i="11"/>
  <c r="J43" i="11"/>
  <c r="I43" i="11"/>
  <c r="H43" i="11"/>
  <c r="G43" i="11"/>
  <c r="N42" i="11"/>
  <c r="O42" i="11"/>
  <c r="L39" i="11"/>
  <c r="K39" i="11"/>
  <c r="J39" i="11"/>
  <c r="I39" i="11"/>
  <c r="H39" i="11"/>
  <c r="G39" i="11"/>
  <c r="O38" i="11"/>
  <c r="N38" i="11"/>
  <c r="N37" i="11"/>
  <c r="O37" i="11"/>
  <c r="N36" i="11"/>
  <c r="O36" i="11"/>
  <c r="N35" i="11"/>
  <c r="O35" i="11"/>
  <c r="N34" i="11"/>
  <c r="O34" i="11"/>
  <c r="N33" i="11"/>
  <c r="O33" i="11"/>
  <c r="N32" i="11"/>
  <c r="O32" i="11"/>
  <c r="N30" i="11"/>
  <c r="N39" i="11" s="1"/>
  <c r="N43" i="11" s="1"/>
  <c r="L47" i="2" s="1"/>
  <c r="K29" i="12" s="1"/>
  <c r="O22" i="11"/>
  <c r="L22" i="11"/>
  <c r="J46" i="2" s="1"/>
  <c r="K22" i="11"/>
  <c r="I46" i="2" s="1"/>
  <c r="J22" i="11"/>
  <c r="H46" i="2" s="1"/>
  <c r="I22" i="11"/>
  <c r="G46" i="2" s="1"/>
  <c r="H22" i="11"/>
  <c r="F46" i="2" s="1"/>
  <c r="G22" i="11"/>
  <c r="N21" i="11"/>
  <c r="O21" i="11"/>
  <c r="L18" i="11"/>
  <c r="K18" i="11"/>
  <c r="J18" i="11"/>
  <c r="I18" i="11"/>
  <c r="H18" i="11"/>
  <c r="G18" i="11"/>
  <c r="N17" i="11"/>
  <c r="O17" i="11"/>
  <c r="N16" i="11"/>
  <c r="O16" i="11"/>
  <c r="N15" i="11"/>
  <c r="O15" i="11"/>
  <c r="N14" i="11"/>
  <c r="O14" i="11"/>
  <c r="N13" i="11"/>
  <c r="O13" i="11"/>
  <c r="O12" i="11"/>
  <c r="N12" i="11"/>
  <c r="N11" i="11"/>
  <c r="O11" i="11"/>
  <c r="N9" i="11"/>
  <c r="N18" i="11" s="1"/>
  <c r="N22" i="11" s="1"/>
  <c r="L46" i="2" s="1"/>
  <c r="K28" i="12" s="1"/>
  <c r="F18" i="11"/>
  <c r="F22" i="11" s="1"/>
  <c r="N1" i="11"/>
  <c r="J1" i="11"/>
  <c r="D1" i="11"/>
  <c r="I13" i="9"/>
  <c r="H13" i="9"/>
  <c r="G13" i="9"/>
  <c r="F13" i="9"/>
  <c r="K13" i="9" s="1"/>
  <c r="L13" i="9" s="1"/>
  <c r="K12" i="9"/>
  <c r="L12" i="9"/>
  <c r="K11" i="9"/>
  <c r="L11" i="9"/>
  <c r="K10" i="9"/>
  <c r="L10" i="9"/>
  <c r="K9" i="9"/>
  <c r="L9" i="9"/>
  <c r="K8" i="9"/>
  <c r="L1" i="9"/>
  <c r="G1" i="9"/>
  <c r="D1" i="9"/>
  <c r="E46" i="3"/>
  <c r="K32" i="12" s="1"/>
  <c r="D46" i="3"/>
  <c r="J32" i="12" s="1"/>
  <c r="L32" i="12" s="1"/>
  <c r="E36" i="3"/>
  <c r="K31" i="12" s="1"/>
  <c r="N25" i="3"/>
  <c r="D36" i="3"/>
  <c r="J31" i="12" s="1"/>
  <c r="L31" i="12" s="1"/>
  <c r="E22" i="3"/>
  <c r="K30" i="12" s="1"/>
  <c r="M25" i="3"/>
  <c r="N12" i="3"/>
  <c r="M12" i="3"/>
  <c r="D22" i="3"/>
  <c r="K18" i="12"/>
  <c r="M18" i="12" s="1"/>
  <c r="K17" i="12"/>
  <c r="M17" i="12" s="1"/>
  <c r="K16" i="12"/>
  <c r="M16" i="12" s="1"/>
  <c r="K14" i="12"/>
  <c r="M14" i="12" s="1"/>
  <c r="K13" i="12"/>
  <c r="M13" i="12" s="1"/>
  <c r="K12" i="12"/>
  <c r="N1" i="3"/>
  <c r="I1" i="3"/>
  <c r="C1" i="3"/>
  <c r="M47" i="2"/>
  <c r="J47" i="2"/>
  <c r="I47" i="2"/>
  <c r="H47" i="2"/>
  <c r="G47" i="2"/>
  <c r="F47" i="2"/>
  <c r="M46" i="2"/>
  <c r="L45" i="2"/>
  <c r="K27" i="12" s="1"/>
  <c r="J27" i="12"/>
  <c r="J26" i="12"/>
  <c r="I44" i="2"/>
  <c r="H44" i="2"/>
  <c r="M42" i="2"/>
  <c r="L42" i="2"/>
  <c r="D40" i="12"/>
  <c r="F40" i="12" s="1"/>
  <c r="L41" i="2"/>
  <c r="M41" i="2"/>
  <c r="L40" i="2"/>
  <c r="M40" i="2"/>
  <c r="E37" i="12"/>
  <c r="J37" i="2"/>
  <c r="I37" i="2"/>
  <c r="H37" i="2"/>
  <c r="L37" i="2" s="1"/>
  <c r="P12" i="3" s="1"/>
  <c r="G37" i="2"/>
  <c r="F37" i="2"/>
  <c r="M36" i="2"/>
  <c r="L36" i="2"/>
  <c r="E34" i="12" s="1"/>
  <c r="D34" i="12"/>
  <c r="F34" i="12" s="1"/>
  <c r="L35" i="2"/>
  <c r="E33" i="12" s="1"/>
  <c r="M35" i="2"/>
  <c r="L34" i="2"/>
  <c r="E32" i="12" s="1"/>
  <c r="D32" i="12"/>
  <c r="F32" i="12" s="1"/>
  <c r="L33" i="2"/>
  <c r="E31" i="12" s="1"/>
  <c r="M33" i="2"/>
  <c r="M32" i="2"/>
  <c r="L32" i="2"/>
  <c r="E30" i="12" s="1"/>
  <c r="D30" i="12"/>
  <c r="F30" i="12" s="1"/>
  <c r="L31" i="2"/>
  <c r="M31" i="2"/>
  <c r="L30" i="2"/>
  <c r="E28" i="12" s="1"/>
  <c r="M30" i="2"/>
  <c r="L29" i="2"/>
  <c r="E27" i="12" s="1"/>
  <c r="M29" i="2"/>
  <c r="M28" i="2"/>
  <c r="L28" i="2"/>
  <c r="E26" i="12" s="1"/>
  <c r="D26" i="12"/>
  <c r="F26" i="12" s="1"/>
  <c r="L27" i="2"/>
  <c r="E25" i="12" s="1"/>
  <c r="M27" i="2"/>
  <c r="L25" i="2"/>
  <c r="E23" i="12" s="1"/>
  <c r="J23" i="2"/>
  <c r="J43" i="2" s="1"/>
  <c r="J49" i="2" s="1"/>
  <c r="I23" i="2"/>
  <c r="H23" i="2"/>
  <c r="G23" i="2"/>
  <c r="G43" i="2" s="1"/>
  <c r="F23" i="2"/>
  <c r="L22" i="2"/>
  <c r="D20" i="12"/>
  <c r="F20" i="12" s="1"/>
  <c r="M21" i="2"/>
  <c r="L21" i="2"/>
  <c r="D19" i="12"/>
  <c r="F19" i="12" s="1"/>
  <c r="L20" i="2"/>
  <c r="E18" i="12" s="1"/>
  <c r="M20" i="2"/>
  <c r="L19" i="2"/>
  <c r="E17" i="12" s="1"/>
  <c r="L18" i="2"/>
  <c r="E16" i="12" s="1"/>
  <c r="M18" i="2"/>
  <c r="L17" i="2"/>
  <c r="M17" i="2" s="1"/>
  <c r="D15" i="12"/>
  <c r="L16" i="2"/>
  <c r="E14" i="12" s="1"/>
  <c r="M16" i="2"/>
  <c r="L15" i="2"/>
  <c r="M15" i="2" s="1"/>
  <c r="L14" i="2"/>
  <c r="E12" i="12" s="1"/>
  <c r="D12" i="12"/>
  <c r="L13" i="2"/>
  <c r="M13" i="2" s="1"/>
  <c r="L12" i="2"/>
  <c r="E10" i="12" s="1"/>
  <c r="D10" i="12"/>
  <c r="L11" i="2"/>
  <c r="E9" i="12" s="1"/>
  <c r="D9" i="12"/>
  <c r="F9" i="12" s="1"/>
  <c r="L10" i="2"/>
  <c r="M10" i="2" s="1"/>
  <c r="D8" i="12"/>
  <c r="L8" i="2"/>
  <c r="E6" i="12" s="1"/>
  <c r="K23" i="2"/>
  <c r="M1" i="2"/>
  <c r="I1" i="2"/>
  <c r="D1" i="2"/>
  <c r="R34" i="1"/>
  <c r="R35" i="1" s="1"/>
  <c r="L40" i="12" s="1"/>
  <c r="S32" i="1"/>
  <c r="L30" i="1"/>
  <c r="L25" i="1"/>
  <c r="I23" i="1"/>
  <c r="I22" i="1"/>
  <c r="I21" i="1"/>
  <c r="R13" i="1"/>
  <c r="L5" i="1"/>
  <c r="L27" i="12" l="1"/>
  <c r="M25" i="2"/>
  <c r="I43" i="2"/>
  <c r="M39" i="2"/>
  <c r="F37" i="12"/>
  <c r="H43" i="2"/>
  <c r="E35" i="12"/>
  <c r="E13" i="12"/>
  <c r="F13" i="12" s="1"/>
  <c r="I49" i="2"/>
  <c r="M19" i="2"/>
  <c r="E15" i="12"/>
  <c r="M14" i="2"/>
  <c r="F15" i="12"/>
  <c r="M8" i="2"/>
  <c r="G49" i="2"/>
  <c r="E8" i="12"/>
  <c r="E11" i="12"/>
  <c r="F11" i="12" s="1"/>
  <c r="F49" i="2"/>
  <c r="F10" i="12"/>
  <c r="F12" i="12"/>
  <c r="A36" i="21"/>
  <c r="L23" i="2"/>
  <c r="M23" i="2" s="1"/>
  <c r="E37" i="3"/>
  <c r="M48" i="2" s="1"/>
  <c r="E10" i="21"/>
  <c r="H10" i="21" s="1"/>
  <c r="B32" i="21"/>
  <c r="L59" i="16"/>
  <c r="N59" i="16"/>
  <c r="G34" i="21"/>
  <c r="C32" i="21"/>
  <c r="D32" i="21"/>
  <c r="H34" i="21"/>
  <c r="F34" i="21"/>
  <c r="C44" i="21"/>
  <c r="L48" i="16"/>
  <c r="L46" i="16"/>
  <c r="L50" i="16"/>
  <c r="N46" i="16"/>
  <c r="N50" i="16"/>
  <c r="N48" i="16"/>
  <c r="L23" i="16"/>
  <c r="L21" i="16"/>
  <c r="L25" i="16"/>
  <c r="N21" i="16"/>
  <c r="N23" i="16"/>
  <c r="N25" i="16"/>
  <c r="F10" i="21"/>
  <c r="E8" i="21"/>
  <c r="G10" i="21"/>
  <c r="H35" i="21"/>
  <c r="C67" i="21"/>
  <c r="N40" i="16"/>
  <c r="E67" i="21"/>
  <c r="E69" i="21" s="1"/>
  <c r="B11" i="21"/>
  <c r="D12" i="21" s="1"/>
  <c r="L13" i="16"/>
  <c r="L38" i="16"/>
  <c r="L58" i="16"/>
  <c r="L15" i="16"/>
  <c r="L40" i="16"/>
  <c r="N15" i="16"/>
  <c r="E9" i="21"/>
  <c r="F9" i="21" s="1"/>
  <c r="N42" i="16"/>
  <c r="N13" i="16"/>
  <c r="O30" i="11"/>
  <c r="M39" i="11"/>
  <c r="M18" i="11"/>
  <c r="O18" i="11" s="1"/>
  <c r="O9" i="11"/>
  <c r="F39" i="11"/>
  <c r="F43" i="11" s="1"/>
  <c r="L8" i="9"/>
  <c r="J30" i="12"/>
  <c r="L30" i="12" s="1"/>
  <c r="D37" i="3"/>
  <c r="M12" i="12"/>
  <c r="K19" i="12"/>
  <c r="M19" i="12" s="1"/>
  <c r="D18" i="12"/>
  <c r="F18" i="12" s="1"/>
  <c r="J29" i="12"/>
  <c r="L29" i="12" s="1"/>
  <c r="M11" i="2"/>
  <c r="K37" i="2"/>
  <c r="M37" i="2" s="1"/>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F6" i="12"/>
  <c r="L43" i="2" l="1"/>
  <c r="K25" i="12"/>
  <c r="L49" i="2"/>
  <c r="H49" i="2"/>
  <c r="K26" i="12"/>
  <c r="L26" i="12" s="1"/>
  <c r="M44" i="2"/>
  <c r="E21" i="12"/>
  <c r="E41" i="12" s="1"/>
  <c r="F8" i="12"/>
  <c r="D33" i="21"/>
  <c r="E47" i="21"/>
  <c r="E45" i="21"/>
  <c r="G13" i="21"/>
  <c r="G45" i="21"/>
  <c r="H13" i="21"/>
  <c r="G43" i="21"/>
  <c r="E43" i="21"/>
  <c r="H8" i="21"/>
  <c r="G8" i="21"/>
  <c r="G47" i="21"/>
  <c r="H49" i="21"/>
  <c r="C51" i="21" s="1"/>
  <c r="C45" i="21"/>
  <c r="C43" i="21"/>
  <c r="F13" i="21"/>
  <c r="H70" i="21"/>
  <c r="C69" i="21"/>
  <c r="H74" i="21" s="1"/>
  <c r="C78" i="21" s="1"/>
  <c r="C47" i="21"/>
  <c r="H14" i="21"/>
  <c r="H51" i="21"/>
  <c r="C59" i="21" s="1"/>
  <c r="H59" i="21" s="1"/>
  <c r="C77" i="21" s="1"/>
  <c r="F8" i="21"/>
  <c r="G9" i="21"/>
  <c r="H9" i="21"/>
  <c r="D35" i="12"/>
  <c r="F35" i="12" s="1"/>
  <c r="O39" i="11"/>
  <c r="M43" i="11"/>
  <c r="O43" i="11" s="1"/>
  <c r="D21" i="12"/>
  <c r="K43" i="2"/>
  <c r="K33" i="12" l="1"/>
  <c r="C79" i="21"/>
  <c r="H80" i="21" s="1"/>
  <c r="H83" i="21" s="1"/>
  <c r="M43" i="2"/>
  <c r="K49" i="2"/>
  <c r="M49" i="2" s="1"/>
  <c r="J25" i="12"/>
  <c r="F21" i="12"/>
  <c r="D41" i="12"/>
  <c r="F41" i="12" s="1"/>
  <c r="L25" i="12" l="1"/>
  <c r="J33" i="12"/>
  <c r="L33" i="12" s="1"/>
  <c r="J6"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<sst xmlns="http://schemas.openxmlformats.org/spreadsheetml/2006/main" count="944" uniqueCount="559">
  <si>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</si>
  <si>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</si>
  <si>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</si>
  <si>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</si>
  <si>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</si>
  <si>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</si>
  <si>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</si>
  <si>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</si>
  <si>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</si>
  <si>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</si>
  <si>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</si>
  <si>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</si>
  <si>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</si>
  <si>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</si>
  <si>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</si>
  <si>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</si>
  <si>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</si>
  <si>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</si>
  <si>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</si>
  <si>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</si>
  <si>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</si>
  <si>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</si>
  <si>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</si>
  <si>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</si>
  <si>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</si>
  <si>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</si>
  <si>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</si>
  <si>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</si>
  <si>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</si>
  <si>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</si>
  <si>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</si>
  <si>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</si>
  <si>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</si>
  <si>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</si>
  <si>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</si>
  <si>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Comments on average salary calculation (optional):</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</si>
  <si>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</si>
  <si>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</si>
  <si>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</si>
  <si>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</si>
  <si>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</si>
  <si>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</si>
  <si>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</si>
  <si>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</si>
  <si>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</si>
  <si>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</si>
  <si>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</si>
  <si>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</si>
  <si>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</si>
  <si>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</si>
  <si>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</si>
  <si>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</si>
  <si>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</si>
  <si>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</si>
  <si>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</si>
  <si>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</si>
  <si>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</si>
  <si>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</si>
  <si>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</si>
  <si>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</si>
  <si>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</si>
  <si>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</si>
  <si>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</si>
  <si>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</si>
  <si>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</si>
  <si>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</si>
  <si>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</si>
  <si>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</si>
  <si>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</si>
  <si>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</si>
  <si>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</si>
  <si>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</si>
  <si>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</si>
  <si>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</si>
  <si>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</si>
  <si>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</si>
  <si>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</si>
  <si>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</si>
  <si>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</si>
  <si>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</si>
  <si>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</si>
  <si>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</si>
  <si>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</si>
  <si>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</si>
  <si>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</si>
  <si>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</si>
  <si>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</si>
  <si>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</si>
  <si>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</si>
  <si>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</si>
  <si>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</si>
  <si>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</si>
  <si>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</si>
  <si>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</si>
  <si>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</si>
  <si>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</si>
  <si>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</si>
  <si>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</si>
  <si>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</si>
  <si>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</si>
  <si>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</si>
  <si>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</si>
  <si>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</si>
  <si>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</si>
  <si>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</si>
  <si>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</si>
  <si>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</si>
  <si>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</si>
  <si>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</si>
  <si>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</si>
  <si>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</si>
  <si>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</si>
  <si>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</si>
  <si>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</si>
  <si>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</si>
  <si>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</si>
  <si>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</si>
  <si>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</si>
  <si>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</si>
  <si>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</si>
  <si>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</si>
  <si>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</si>
  <si>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</si>
  <si>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</si>
  <si>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</si>
  <si>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</si>
  <si>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</si>
  <si>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</si>
  <si>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</si>
  <si>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</si>
  <si>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</si>
  <si>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</si>
  <si>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</si>
  <si>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</si>
  <si>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</si>
  <si>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</si>
  <si>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</si>
  <si>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</si>
  <si>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</si>
  <si>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</si>
  <si>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</si>
  <si>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</si>
  <si>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</si>
  <si>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</si>
  <si>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</si>
  <si>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</si>
  <si>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</si>
  <si>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</si>
  <si>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</si>
  <si>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</si>
  <si>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</si>
  <si>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</si>
  <si>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</si>
  <si>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</si>
  <si>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</si>
  <si>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</si>
  <si>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</si>
  <si>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</si>
  <si>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</si>
  <si>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</si>
  <si>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</si>
  <si>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</si>
  <si>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</si>
  <si>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</si>
  <si>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</si>
  <si>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</si>
  <si>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</si>
  <si>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</si>
  <si>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</si>
  <si>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</si>
  <si>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</si>
  <si>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</si>
  <si>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</si>
  <si>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</si>
  <si>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</si>
  <si>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</si>
  <si>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</si>
  <si>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</si>
  <si>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</si>
  <si>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</si>
  <si>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</si>
  <si>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</si>
  <si>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</si>
  <si>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</si>
  <si>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</si>
  <si>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</si>
  <si>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</si>
  <si>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</si>
  <si>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</si>
  <si>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</si>
  <si>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</si>
  <si>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</si>
  <si>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</si>
  <si>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</si>
  <si>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</si>
  <si>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</si>
  <si>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</si>
  <si>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</si>
  <si>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</si>
  <si>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</si>
  <si>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</si>
  <si>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</si>
  <si>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</si>
  <si>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</si>
  <si>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</si>
  <si>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</si>
  <si>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</si>
  <si>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</si>
  <si>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</si>
  <si>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</si>
  <si>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</si>
  <si>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</si>
  <si>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</si>
  <si>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</si>
  <si>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</si>
  <si>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</si>
  <si>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</si>
  <si>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</si>
  <si>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</si>
  <si>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</si>
  <si>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</si>
  <si>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</si>
  <si>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</si>
  <si>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</si>
  <si>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</si>
  <si>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</si>
  <si>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</si>
  <si>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</si>
  <si>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</si>
  <si>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</si>
  <si>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</si>
  <si>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</si>
  <si>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</si>
  <si>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</si>
  <si>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</si>
  <si>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</si>
  <si>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</si>
  <si>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</si>
  <si>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</si>
  <si>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</si>
  <si>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</si>
  <si>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</si>
  <si>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</si>
  <si>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</si>
  <si>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</si>
  <si>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</si>
  <si>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</si>
  <si>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</si>
  <si>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</si>
  <si>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</si>
  <si>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</si>
  <si>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</si>
  <si>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</si>
  <si>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</si>
  <si>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</si>
  <si>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</si>
  <si>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</si>
  <si>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</si>
  <si>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</si>
  <si>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</si>
  <si>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</si>
  <si>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</si>
  <si>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</si>
  <si>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</si>
  <si>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</si>
  <si>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</si>
  <si>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</si>
  <si>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</si>
  <si>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</si>
  <si>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</si>
  <si>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</si>
  <si>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</si>
  <si>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</si>
  <si>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</si>
  <si>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</si>
  <si>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</si>
  <si>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</si>
  <si>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</si>
  <si>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</si>
  <si>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</si>
  <si>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</si>
  <si>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</si>
  <si>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</si>
  <si>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</si>
  <si>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</si>
  <si>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</si>
  <si>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</si>
  <si>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</si>
  <si>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</si>
  <si>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</si>
  <si>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</si>
  <si>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</si>
  <si>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</si>
  <si>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</si>
  <si>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</si>
  <si>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</si>
  <si>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</si>
  <si>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</si>
  <si>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</si>
  <si>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</si>
  <si>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</si>
  <si>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</si>
  <si>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</si>
  <si>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</si>
  <si>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</si>
  <si>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</si>
  <si>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</si>
  <si>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</si>
  <si>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</si>
  <si>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</si>
  <si>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</si>
  <si>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</si>
  <si>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</si>
  <si>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</si>
  <si>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</si>
  <si>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</si>
  <si>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</si>
  <si>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</si>
  <si>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</si>
  <si>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</si>
  <si>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</si>
  <si>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</si>
  <si>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</si>
  <si>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</si>
  <si>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</si>
  <si>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</si>
  <si>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</si>
  <si>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</si>
  <si>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</si>
  <si>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</si>
  <si>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</si>
  <si>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</si>
  <si>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</si>
  <si>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</si>
  <si>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</si>
  <si>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</si>
  <si>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</si>
  <si>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</si>
  <si>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</si>
  <si>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</si>
  <si>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</si>
  <si>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</si>
  <si>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</si>
  <si>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</si>
  <si>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</si>
  <si>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</si>
  <si>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</si>
  <si>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</si>
  <si>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</si>
  <si>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</si>
  <si>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</si>
  <si>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</si>
  <si>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</si>
  <si>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</si>
  <si>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</si>
  <si>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</si>
  <si>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</si>
  <si>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</si>
  <si>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</si>
  <si>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</si>
  <si>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</si>
  <si>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</si>
  <si>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</si>
  <si>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</si>
  <si>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</si>
  <si>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</si>
  <si>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</si>
  <si>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</si>
  <si>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</si>
  <si>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</si>
  <si>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</si>
  <si>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</si>
  <si>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</si>
  <si>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</si>
  <si>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</si>
  <si>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</si>
  <si>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</si>
  <si>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</si>
  <si>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</si>
  <si>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</si>
  <si>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</si>
  <si>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</si>
  <si>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</si>
  <si>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</si>
  <si>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</si>
  <si>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</si>
  <si>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</si>
  <si>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</si>
  <si>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</si>
  <si>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</si>
  <si>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</si>
  <si>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</si>
  <si>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</si>
  <si>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</si>
  <si>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</si>
  <si>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</si>
  <si>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</si>
  <si>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</si>
  <si>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</si>
  <si>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</si>
  <si>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</si>
  <si>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</si>
  <si>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</si>
  <si>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</si>
  <si>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</si>
  <si>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</si>
  <si>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</si>
  <si>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</si>
  <si>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</si>
  <si>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</si>
  <si>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</si>
  <si>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</si>
  <si>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</si>
  <si>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</si>
  <si>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</si>
  <si>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</si>
  <si>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</si>
  <si>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</si>
  <si>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</si>
  <si>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</si>
  <si>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</si>
  <si>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</si>
  <si>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</si>
  <si>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</si>
  <si>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</si>
  <si>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</si>
  <si>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</si>
  <si>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</si>
  <si>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</si>
  <si>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</si>
  <si>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</si>
  <si>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</si>
  <si>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</si>
  <si>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</si>
  <si>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</si>
  <si>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</si>
  <si>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</si>
  <si>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Charter website link of posted budget</t>
  </si>
  <si>
    <t>Charter website link</t>
  </si>
  <si>
    <t>Charter Management Organization (CMO)</t>
  </si>
  <si>
    <t>Education Management Organization (EMO)</t>
  </si>
  <si>
    <t>Single Management (non-profit)</t>
  </si>
  <si>
    <t>Single Management (for-profit)</t>
  </si>
  <si>
    <t>Project 
balances</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</si>
  <si>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</si>
  <si>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</si>
  <si>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</si>
  <si>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</si>
  <si>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</si>
  <si>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</si>
  <si>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</si>
  <si>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</si>
  <si>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</si>
  <si>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</si>
  <si>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</si>
  <si>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</si>
  <si>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</si>
  <si>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</si>
  <si>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</si>
  <si>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</si>
  <si>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</si>
  <si>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</si>
  <si>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</si>
  <si>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</si>
  <si>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</si>
  <si>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</si>
  <si>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</si>
  <si>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</si>
  <si>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</si>
  <si>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</si>
  <si>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</si>
  <si>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</si>
  <si>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</si>
  <si>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</si>
  <si>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</si>
  <si>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</si>
  <si>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</si>
  <si>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</si>
  <si>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</si>
  <si>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</si>
  <si>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</si>
  <si>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</si>
  <si>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</si>
  <si>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</si>
  <si>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</si>
  <si>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</si>
  <si>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</si>
  <si>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</si>
  <si>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</si>
  <si>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</si>
  <si>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</si>
  <si>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</si>
  <si>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</si>
  <si>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</si>
  <si>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</si>
  <si>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</si>
  <si>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</si>
  <si>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</si>
  <si>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</si>
  <si>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</si>
  <si>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</si>
  <si>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</si>
  <si>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</si>
  <si>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</si>
  <si>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</si>
  <si>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</si>
  <si>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</si>
  <si>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</si>
  <si>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</si>
  <si>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</si>
  <si>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School's State aid supplement</t>
  </si>
  <si>
    <t>School's onetime CAA supplement</t>
  </si>
  <si>
    <t>School's onetime FRPL supplement</t>
  </si>
  <si>
    <r>
      <t>Schools receive revenues from the Classroom Site Project (CSP) each year. A.R.S. §15-977(G)(1) requires the Joint Legislative Budget Committee to calculate an estimated per pupil amount each year. For FY 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 2027 100th day student count as reported in the schools's FY 2027 ADM20A and ADM30 reports.</t>
    </r>
    <r>
      <rPr>
        <strike/>
        <sz val="10"/>
        <rFont val="Arial"/>
        <family val="2"/>
      </rPr>
      <t xml:space="preserve">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</si>
  <si>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</si>
  <si>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t>Line 2 (c)</t>
  </si>
  <si>
    <t>(b)</t>
  </si>
  <si>
    <t xml:space="preserve"> FY 2026 revenues</t>
  </si>
  <si>
    <t xml:space="preserve"> FY 2026 expenses, indirect costs, reversions, capital acquisitions, and redemption of principal</t>
  </si>
  <si>
    <t>(a)</t>
  </si>
  <si>
    <t>(c)</t>
  </si>
  <si>
    <t>(d)</t>
  </si>
  <si>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</si>
  <si>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t>Total (must agree to line 3 above)</t>
  </si>
  <si>
    <t>Total project balance (should agree to amount on line 3)</t>
  </si>
  <si>
    <t>(e)</t>
  </si>
  <si>
    <t>With donor restrictions/Restricted</t>
  </si>
  <si>
    <t>Without donor restrictions/Unrestricted</t>
  </si>
  <si>
    <t>Deficit balance</t>
  </si>
  <si>
    <t xml:space="preserve">Planned to be spent in FY 2027 </t>
  </si>
  <si>
    <t>Planned to be spent in FY 2027 to support operations of other school sites within the same charter management organization</t>
  </si>
  <si>
    <t>Maintained for spending after FY 2027</t>
  </si>
  <si>
    <t xml:space="preserve"> FY 2026 beginning project balance adjustments:  _____________________________________________</t>
  </si>
  <si>
    <t>Report FY 2026 beginning project balance adjustments. This line should be left blank for budget adoption. Charters may enter an amount on the line if the school needs to adjust the beginning project balance for any adjustments identified in the district's FY 2025 ending balance. If an amount is zero, enter 0 on that line.</t>
  </si>
  <si>
    <t>Line 5 is optional. Charter schools can use this section to include additional information about its project balances and planned spending. Charters can also use this section to list projects included in restricted and unrestricted lines.</t>
  </si>
  <si>
    <t>Updated the estimated CSP per pupil amount.</t>
  </si>
  <si>
    <t>Added a line for schools to enter FY 2026 beginning project balance adjustments, if any.</t>
  </si>
  <si>
    <t>Increase for State aid supplement (Laws 2026, Ch. 126, §31)</t>
  </si>
  <si>
    <t>Laws 2026, Ch. 126, §31, provides a total State aid supplement of $75,000,000 to school districts and charter schools on a pro rata basis. To estimate the increase in additional funding charters should multiply the school's percentage of State-wide weighted student count as reported on its most recent Classroom Site Project Detail Report by $75,000,000 and enter the amount in cell N103. However, actual amounts will vary. Schools should include these monies in their Schoolwide Project Budget. These monies may be expended for any allowable school purpose. Classroom Site Project Detail Reports can be accessed at https://schoolfinancereports.azed.gov.
ADE will notify schools of the final amounts. Once available, schools can access actual payment amounts at https://www.azed.gov/finance/countyappor.</t>
  </si>
  <si>
    <t>Increase for onetime charter additional assistance (CAA) supplement (Laws 2026, Ch. 126, §31)</t>
  </si>
  <si>
    <t>Laws 2026, Ch. 126, §31, provides a total onetime CAA supplement of $5,858,000. ADE will allocate and distribute the supplement on a proportional basis based on the CAA funding that each charter in this State receives in FY 2027. ADE will calculate the supplement amount for each charter and notify them when complete. This line should be left blank for budget adoption. Charters may revise their budget after notification.</t>
  </si>
  <si>
    <t>Increase for onetime FRPL Group B weight supplement (Laws 2026, Ch. 126, §31)</t>
  </si>
  <si>
    <t>Laws 2026, Ch. 126, §31, provides a total onetime FRPL Group B weight supplement of $37,000,000. ADE will allocate and distribute the supplement on a pro rata basis using the weighted student count for FRPL students for each charter school pursuant to A.R.S. §15-943(2)(b). ADE will calculate the supplement amount for each charter school and notify them when complete. This line should be left blank for budget adoption. Charters may revise their budget after notification.</t>
  </si>
  <si>
    <t>George Gervin Youth Center, INC</t>
  </si>
  <si>
    <t>George Gervin Prep Academy</t>
  </si>
  <si>
    <t>Maricopa</t>
  </si>
  <si>
    <t>078585000</t>
  </si>
  <si>
    <t>Barbara Hawkins</t>
  </si>
  <si>
    <t>bdhawkins@gervin-school.org</t>
  </si>
  <si>
    <t>Barabara D. Hawkins</t>
  </si>
  <si>
    <t>Barbara D. Hawkins</t>
  </si>
  <si>
    <t>Edupoint (Synergy)</t>
  </si>
  <si>
    <t>MIP Abila</t>
  </si>
  <si>
    <t>No</t>
  </si>
  <si>
    <t>George Gervin Youth Center, Inc.</t>
  </si>
  <si>
    <t>74-2587818</t>
  </si>
  <si>
    <t>6903 S. Sunbelt Dr.</t>
  </si>
  <si>
    <t>San Antonio</t>
  </si>
  <si>
    <t>Texas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</si>
</sst>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5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
      <patternFill patternType="solid">
        <fgColor theme="0" tint="-0.1498458815271462"/>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4">
    <xf numFmtId="0" fontId="0" fillId="0" borderId="0"/>
    <xf numFmtId="9" fontId="49" fillId="0" borderId="0" applyFont="0" applyFill="0" applyBorder="0" applyAlignment="0" applyProtection="0"/>
    <xf numFmtId="44" fontId="49" fillId="0" borderId="0" applyFont="0" applyFill="0" applyBorder="0" applyAlignment="0" applyProtection="0"/>
    <xf numFmtId="42" fontId="49" fillId="0" borderId="0" applyFont="0" applyFill="0" applyBorder="0" applyAlignment="0" applyProtection="0"/>
    <xf numFmtId="43" fontId="49" fillId="0" borderId="0" applyFont="0" applyFill="0" applyBorder="0" applyAlignment="0" applyProtection="0"/>
    <xf numFmtId="41" fontId="49" fillId="0" borderId="0" applyFont="0" applyFill="0" applyBorder="0" applyAlignment="0" applyProtection="0"/>
    <xf numFmtId="0" fontId="6" fillId="0" borderId="0" applyNumberFormat="0" applyFill="0" applyBorder="0">
      <protection locked="0"/>
    </xf>
    <xf numFmtId="0" fontId="8" fillId="0" borderId="0" applyFont="0" applyBorder="0"/>
    <xf numFmtId="0" fontId="8" fillId="0" borderId="0" applyFont="0" applyBorder="0"/>
    <xf numFmtId="0" fontId="17" fillId="2" borderId="0"/>
    <xf numFmtId="0" fontId="49" fillId="0" borderId="0"/>
    <xf numFmtId="0" fontId="3" fillId="0" borderId="0"/>
    <xf numFmtId="0" fontId="2" fillId="0" borderId="0"/>
    <xf numFmtId="0" fontId="1" fillId="0" borderId="0"/>
  </cellStyleXfs>
  <cellXfs count="626">
    <xf numFmtId="0" fontId="0" fillId="0" borderId="0" xfId="0"/>
    <xf numFmtId="0" fontId="4"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1" xfId="0" applyNumberFormat="1" applyBorder="1" applyAlignment="1" applyProtection="1">
      <alignment horizontal="center"/>
      <protection locked="0"/>
    </xf>
    <xf numFmtId="0" fontId="30"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4" fillId="0" borderId="0" xfId="8" applyFont="1" applyAlignment="1">
      <alignment horizontal="right"/>
    </xf>
    <xf numFmtId="49" fontId="4" fillId="0" borderId="0" xfId="8" applyNumberFormat="1" applyFont="1" applyAlignment="1">
      <alignment horizontal="center"/>
    </xf>
    <xf numFmtId="0" fontId="15" fillId="0" borderId="0" xfId="8" applyFont="1"/>
    <xf numFmtId="49" fontId="4" fillId="0" borderId="0" xfId="8" applyNumberFormat="1" applyFont="1" applyAlignment="1">
      <alignment horizontal="left"/>
    </xf>
    <xf numFmtId="0" fontId="29" fillId="3" borderId="0" xfId="6" applyFont="1" applyFill="1" applyProtection="1"/>
    <xf numFmtId="0" fontId="10" fillId="3" borderId="0" xfId="6" applyFont="1" applyFill="1" applyAlignment="1" applyProtection="1">
      <alignment horizontal="left"/>
    </xf>
    <xf numFmtId="49" fontId="4" fillId="3" borderId="0" xfId="8" applyNumberFormat="1" applyFont="1" applyFill="1" applyAlignment="1">
      <alignment horizontal="left"/>
    </xf>
    <xf numFmtId="0" fontId="4" fillId="3" borderId="0" xfId="8" applyFont="1" applyFill="1" applyAlignment="1">
      <alignment horizontal="right"/>
    </xf>
    <xf numFmtId="49" fontId="4"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4" fillId="0" borderId="16" xfId="8" applyNumberFormat="1" applyFont="1" applyBorder="1" applyAlignment="1">
      <alignment horizontal="left"/>
    </xf>
    <xf numFmtId="0" fontId="4" fillId="0" borderId="16" xfId="8" applyFont="1" applyBorder="1" applyAlignment="1">
      <alignment horizontal="right"/>
    </xf>
    <xf numFmtId="0" fontId="4" fillId="0" borderId="15" xfId="8" applyFont="1" applyBorder="1" applyAlignment="1">
      <alignment horizontal="right"/>
    </xf>
    <xf numFmtId="0" fontId="0" fillId="0" borderId="16" xfId="8" applyFont="1" applyBorder="1" applyAlignment="1">
      <alignment horizontal="center"/>
    </xf>
    <xf numFmtId="49" fontId="4"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3" fillId="4" borderId="0" xfId="6" applyFont="1" applyFill="1" applyAlignment="1" applyProtection="1">
      <alignment horizontal="left"/>
    </xf>
    <xf numFmtId="0" fontId="4" fillId="0" borderId="18" xfId="8" applyFont="1" applyBorder="1" applyAlignment="1">
      <alignment horizontal="right"/>
    </xf>
    <xf numFmtId="0" fontId="4" fillId="0" borderId="19" xfId="8" applyFont="1" applyBorder="1" applyAlignment="1">
      <alignment horizontal="right"/>
    </xf>
    <xf numFmtId="0" fontId="13" fillId="0" borderId="20" xfId="6" applyFont="1" applyBorder="1" applyProtection="1"/>
    <xf numFmtId="0" fontId="0" fillId="0" borderId="21" xfId="0" applyBorder="1"/>
    <xf numFmtId="49" fontId="4" fillId="0" borderId="21" xfId="8" applyNumberFormat="1" applyFont="1" applyBorder="1" applyAlignment="1">
      <alignment horizontal="left"/>
    </xf>
    <xf numFmtId="0" fontId="4" fillId="0" borderId="21" xfId="8" applyFont="1" applyBorder="1" applyAlignment="1">
      <alignment horizontal="right"/>
    </xf>
    <xf numFmtId="0" fontId="4"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3" fillId="4" borderId="24" xfId="6" applyFont="1" applyFill="1" applyBorder="1" applyAlignment="1" applyProtection="1">
      <alignment horizontal="left"/>
    </xf>
    <xf numFmtId="0" fontId="33"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3" fillId="4" borderId="24" xfId="6" applyFont="1" applyFill="1" applyBorder="1" applyProtection="1"/>
    <xf numFmtId="170" fontId="0" fillId="0" borderId="24" xfId="0" applyNumberFormat="1" applyBorder="1"/>
    <xf numFmtId="0" fontId="28" fillId="0" borderId="20" xfId="0" applyFont="1" applyBorder="1"/>
    <xf numFmtId="0" fontId="28" fillId="0" borderId="0" xfId="0" applyFont="1"/>
    <xf numFmtId="49" fontId="10" fillId="3" borderId="0" xfId="6" applyNumberFormat="1" applyFont="1" applyFill="1" applyAlignment="1" applyProtection="1">
      <alignment horizontal="left"/>
    </xf>
    <xf numFmtId="49" fontId="10" fillId="0" borderId="0" xfId="6" applyNumberFormat="1" applyFont="1" applyFill="1" applyAlignment="1" applyProtection="1">
      <alignment horizontal="center"/>
    </xf>
    <xf numFmtId="49" fontId="4"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4" fillId="0" borderId="20" xfId="8" applyNumberFormat="1" applyFont="1" applyBorder="1" applyAlignment="1">
      <alignment horizontal="center"/>
    </xf>
    <xf numFmtId="0" fontId="4" fillId="0" borderId="0" xfId="0" applyFont="1"/>
    <xf numFmtId="170" fontId="0" fillId="0" borderId="1" xfId="0" quotePrefix="1" applyNumberFormat="1" applyBorder="1"/>
    <xf numFmtId="0" fontId="19" fillId="4" borderId="0" xfId="0" applyFont="1" applyFill="1"/>
    <xf numFmtId="0" fontId="40" fillId="4" borderId="0" xfId="0" applyFont="1" applyFill="1"/>
    <xf numFmtId="49" fontId="41" fillId="0" borderId="0" xfId="8" applyNumberFormat="1" applyFont="1" applyAlignment="1">
      <alignment horizontal="left"/>
    </xf>
    <xf numFmtId="0" fontId="41" fillId="0" borderId="0" xfId="8" applyFont="1" applyAlignment="1">
      <alignment horizontal="right"/>
    </xf>
    <xf numFmtId="49" fontId="18" fillId="0" borderId="0" xfId="8" applyNumberFormat="1" applyFont="1" applyAlignment="1">
      <alignment horizontal="center"/>
    </xf>
    <xf numFmtId="164" fontId="4" fillId="0" borderId="0" xfId="8" applyNumberFormat="1" applyFont="1"/>
    <xf numFmtId="0" fontId="35" fillId="0" borderId="0" xfId="8" applyFont="1"/>
    <xf numFmtId="164" fontId="0" fillId="0" borderId="0" xfId="8" applyNumberFormat="1" applyFont="1" applyAlignment="1">
      <alignment horizontal="left" wrapText="1"/>
    </xf>
    <xf numFmtId="4" fontId="0" fillId="0" borderId="0" xfId="0" applyNumberFormat="1"/>
    <xf numFmtId="0" fontId="14"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7" fillId="0" borderId="0" xfId="9" applyFill="1" applyAlignment="1">
      <alignment vertical="center" wrapText="1"/>
    </xf>
    <xf numFmtId="0" fontId="0" fillId="0" borderId="0" xfId="0" applyAlignment="1">
      <alignment vertical="center"/>
    </xf>
    <xf numFmtId="0" fontId="15" fillId="0" borderId="0" xfId="8" applyFont="1" applyAlignment="1">
      <alignment horizontal="right"/>
    </xf>
    <xf numFmtId="39" fontId="15"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3" fillId="0" borderId="0" xfId="0" applyFont="1"/>
    <xf numFmtId="0" fontId="22" fillId="3" borderId="0" xfId="6" applyFont="1" applyFill="1" applyAlignment="1" applyProtection="1">
      <alignment horizontal="right"/>
    </xf>
    <xf numFmtId="0" fontId="29"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9" fillId="0" borderId="0" xfId="6" applyFont="1" applyProtection="1"/>
    <xf numFmtId="0" fontId="31" fillId="0" borderId="0" xfId="0" applyFont="1"/>
    <xf numFmtId="0" fontId="30"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4" fillId="0" borderId="0" xfId="0" applyFont="1" applyAlignment="1">
      <alignment wrapText="1"/>
    </xf>
    <xf numFmtId="0" fontId="32" fillId="0" borderId="0" xfId="0" applyFont="1"/>
    <xf numFmtId="166" fontId="0" fillId="0" borderId="9" xfId="0" applyNumberFormat="1" applyBorder="1" applyAlignment="1">
      <alignment horizontal="right" vertical="top"/>
    </xf>
    <xf numFmtId="0" fontId="34" fillId="0" borderId="0" xfId="0" applyFont="1" applyAlignment="1">
      <alignment horizontal="center"/>
    </xf>
    <xf numFmtId="0" fontId="5" fillId="0" borderId="0" xfId="7" applyFont="1" applyAlignment="1">
      <alignment horizontal="center" vertical="top" wrapText="1"/>
    </xf>
    <xf numFmtId="0" fontId="5" fillId="0" borderId="0" xfId="7" applyFont="1" applyAlignment="1">
      <alignment horizontal="center" vertical="top"/>
    </xf>
    <xf numFmtId="0" fontId="28" fillId="0" borderId="0" xfId="6" applyFont="1" applyAlignment="1" applyProtection="1">
      <alignment horizontal="center" vertical="top"/>
    </xf>
    <xf numFmtId="0" fontId="6" fillId="0" borderId="0" xfId="6" applyAlignment="1" applyProtection="1">
      <alignment vertical="top" wrapText="1"/>
    </xf>
    <xf numFmtId="0" fontId="40"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4" fillId="0" borderId="25" xfId="8" applyFont="1" applyBorder="1"/>
    <xf numFmtId="0" fontId="4" fillId="0" borderId="0" xfId="8" applyFont="1" applyAlignment="1">
      <alignment horizontal="center" wrapText="1"/>
    </xf>
    <xf numFmtId="172" fontId="0" fillId="0" borderId="0" xfId="8" applyNumberFormat="1" applyFont="1" applyAlignment="1">
      <alignment horizontal="center"/>
    </xf>
    <xf numFmtId="0" fontId="4" fillId="0" borderId="0" xfId="0" applyFont="1" applyAlignment="1">
      <alignment horizontal="left" vertical="top"/>
    </xf>
    <xf numFmtId="172" fontId="4" fillId="0" borderId="0" xfId="2" applyNumberFormat="1" applyFont="1" applyFill="1" applyAlignment="1" applyProtection="1">
      <alignment horizontal="center" vertical="top" wrapText="1"/>
    </xf>
    <xf numFmtId="172" fontId="4" fillId="0" borderId="0" xfId="8" applyNumberFormat="1" applyFont="1" applyAlignment="1">
      <alignment horizontal="center"/>
    </xf>
    <xf numFmtId="172" fontId="0" fillId="0" borderId="0" xfId="8" applyNumberFormat="1" applyFont="1"/>
    <xf numFmtId="0" fontId="4" fillId="0" borderId="0" xfId="0" applyFont="1" applyAlignment="1">
      <alignment horizontal="left" vertical="top" wrapText="1"/>
    </xf>
    <xf numFmtId="172" fontId="0" fillId="0" borderId="0" xfId="0" applyNumberFormat="1" applyAlignment="1">
      <alignment vertical="top" wrapText="1"/>
    </xf>
    <xf numFmtId="172" fontId="4" fillId="0" borderId="0" xfId="0" applyNumberFormat="1" applyFont="1" applyAlignment="1">
      <alignment vertical="top" wrapText="1"/>
    </xf>
    <xf numFmtId="0" fontId="4"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4" fillId="0" borderId="25" xfId="8" applyNumberFormat="1" applyFont="1" applyBorder="1" applyAlignment="1">
      <alignment horizontal="center"/>
    </xf>
    <xf numFmtId="0" fontId="4" fillId="0" borderId="0" xfId="8" applyFont="1" applyBorder="1" applyAlignment="1">
      <alignment horizontal="center" vertical="center"/>
    </xf>
    <xf numFmtId="0" fontId="4" fillId="0" borderId="0" xfId="8" applyFont="1" applyAlignment="1">
      <alignment horizontal="center" vertical="center" wrapText="1"/>
    </xf>
    <xf numFmtId="0" fontId="0" fillId="0" borderId="0" xfId="8" applyFont="1" applyAlignment="1">
      <alignment horizontal="center"/>
    </xf>
    <xf numFmtId="0" fontId="4" fillId="0" borderId="0" xfId="0" applyFont="1" applyAlignment="1">
      <alignment vertical="top"/>
    </xf>
    <xf numFmtId="172" fontId="4" fillId="0" borderId="0" xfId="0" applyNumberFormat="1" applyFont="1" applyAlignment="1">
      <alignment horizontal="center" wrapText="1"/>
    </xf>
    <xf numFmtId="0" fontId="4" fillId="0" borderId="0" xfId="0" applyFont="1" applyAlignment="1">
      <alignment vertical="top" wrapText="1"/>
    </xf>
    <xf numFmtId="172" fontId="4"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4" fillId="0" borderId="0" xfId="0" applyFont="1" applyAlignment="1">
      <alignment vertical="center" wrapText="1"/>
    </xf>
    <xf numFmtId="177" fontId="0" fillId="0" borderId="0" xfId="8" applyNumberFormat="1" applyFont="1"/>
    <xf numFmtId="171" fontId="4" fillId="0" borderId="0" xfId="8" applyNumberFormat="1" applyFont="1" applyAlignment="1">
      <alignment horizontal="left"/>
    </xf>
    <xf numFmtId="177" fontId="0" fillId="0" borderId="0" xfId="8" applyNumberFormat="1" applyFont="1" applyAlignment="1">
      <alignment horizontal="left"/>
    </xf>
    <xf numFmtId="177" fontId="4" fillId="0" borderId="0" xfId="8" applyNumberFormat="1" applyFont="1" applyAlignment="1">
      <alignment horizontal="left"/>
    </xf>
    <xf numFmtId="2" fontId="4" fillId="0" borderId="0" xfId="8" applyNumberFormat="1" applyFont="1"/>
    <xf numFmtId="0" fontId="4" fillId="0" borderId="25" xfId="0" applyFont="1" applyBorder="1" applyAlignment="1">
      <alignment horizontal="center" vertical="top" wrapText="1"/>
    </xf>
    <xf numFmtId="172" fontId="0" fillId="0" borderId="0" xfId="8" applyNumberFormat="1" applyFont="1" applyAlignment="1">
      <alignment horizontal="left"/>
    </xf>
    <xf numFmtId="0" fontId="32" fillId="4" borderId="0" xfId="0" applyFont="1" applyFill="1"/>
    <xf numFmtId="0" fontId="34" fillId="0" borderId="0" xfId="0" applyFont="1"/>
    <xf numFmtId="0" fontId="0" fillId="0" borderId="1" xfId="0" applyBorder="1" applyAlignment="1">
      <alignment horizontal="centerContinuous"/>
    </xf>
    <xf numFmtId="0" fontId="27"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8" fillId="3" borderId="26" xfId="6" applyFont="1" applyFill="1" applyBorder="1" applyAlignment="1" applyProtection="1">
      <alignment horizontal="center"/>
    </xf>
    <xf numFmtId="0" fontId="4"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8" fillId="3" borderId="1" xfId="6" applyFont="1" applyFill="1" applyBorder="1" applyProtection="1"/>
    <xf numFmtId="0" fontId="25"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4" fillId="0" borderId="0" xfId="0" applyFont="1" applyAlignment="1">
      <alignment horizontal="centerContinuous"/>
    </xf>
    <xf numFmtId="0" fontId="26" fillId="0" borderId="0" xfId="6" applyFont="1" applyAlignment="1" applyProtection="1">
      <alignment horizontal="centerContinuous"/>
    </xf>
    <xf numFmtId="0" fontId="25" fillId="0" borderId="0" xfId="6" applyFont="1" applyAlignment="1" applyProtection="1">
      <alignment horizontal="centerContinuous"/>
    </xf>
    <xf numFmtId="0" fontId="10" fillId="3" borderId="0" xfId="6" applyFont="1" applyFill="1" applyAlignment="1" applyProtection="1">
      <alignment horizontal="centerContinuous"/>
    </xf>
    <xf numFmtId="0" fontId="26"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8"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8"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8" fillId="0" borderId="0" xfId="6" applyFont="1" applyAlignment="1" applyProtection="1">
      <alignment vertical="center"/>
    </xf>
    <xf numFmtId="0" fontId="4"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3" fillId="3" borderId="0" xfId="6" applyFont="1" applyFill="1" applyAlignment="1" applyProtection="1">
      <alignment horizontal="centerContinuous"/>
    </xf>
    <xf numFmtId="165" fontId="0" fillId="0" borderId="0" xfId="0" applyNumberFormat="1"/>
    <xf numFmtId="0" fontId="29" fillId="3" borderId="0" xfId="6" applyFont="1" applyFill="1" applyAlignment="1" applyProtection="1">
      <alignment horizontal="left" vertical="center"/>
    </xf>
    <xf numFmtId="0" fontId="31" fillId="3" borderId="0" xfId="6" applyFont="1" applyFill="1" applyProtection="1"/>
    <xf numFmtId="0" fontId="38" fillId="3" borderId="0" xfId="6" applyFont="1" applyFill="1" applyProtection="1"/>
    <xf numFmtId="0" fontId="26" fillId="3" borderId="0" xfId="6" applyFont="1" applyFill="1" applyProtection="1"/>
    <xf numFmtId="0" fontId="39" fillId="3" borderId="0" xfId="6" applyFont="1" applyFill="1" applyAlignment="1" applyProtection="1">
      <alignment vertical="center"/>
    </xf>
    <xf numFmtId="0" fontId="26" fillId="0" borderId="0" xfId="6" applyFont="1" applyProtection="1"/>
    <xf numFmtId="38" fontId="0" fillId="0" borderId="31" xfId="0" applyNumberFormat="1" applyBorder="1" applyAlignment="1">
      <alignment vertical="center"/>
    </xf>
    <xf numFmtId="0" fontId="29" fillId="3" borderId="0" xfId="6" applyFont="1" applyFill="1" applyAlignment="1" applyProtection="1">
      <alignment vertical="center"/>
    </xf>
    <xf numFmtId="38" fontId="34" fillId="0" borderId="0" xfId="0" applyNumberFormat="1" applyFont="1"/>
    <xf numFmtId="164" fontId="34" fillId="0" borderId="0" xfId="0" applyNumberFormat="1" applyFont="1" applyAlignment="1">
      <alignment horizontal="right" vertical="center"/>
    </xf>
    <xf numFmtId="0" fontId="4" fillId="0" borderId="0" xfId="6" applyFont="1" applyAlignment="1" applyProtection="1">
      <alignment horizontal="centerContinuous" vertical="center"/>
    </xf>
    <xf numFmtId="0" fontId="29"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4"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4"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8" fillId="3" borderId="18" xfId="6" applyFont="1" applyFill="1" applyBorder="1" applyProtection="1"/>
    <xf numFmtId="0" fontId="25" fillId="3" borderId="0" xfId="6" applyFont="1" applyFill="1" applyProtection="1"/>
    <xf numFmtId="38" fontId="0" fillId="0" borderId="33" xfId="0" applyNumberFormat="1" applyBorder="1"/>
    <xf numFmtId="0" fontId="0" fillId="0" borderId="0" xfId="0" applyAlignment="1">
      <alignment horizontal="justify" wrapText="1"/>
    </xf>
    <xf numFmtId="0" fontId="7"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6" fillId="3" borderId="0" xfId="6" applyFill="1" applyProtection="1"/>
    <xf numFmtId="0" fontId="27" fillId="0" borderId="0" xfId="0" applyFont="1" applyAlignment="1">
      <alignment horizontal="centerContinuous"/>
    </xf>
    <xf numFmtId="0" fontId="4"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4" fillId="0" borderId="7" xfId="0" applyFont="1" applyBorder="1"/>
    <xf numFmtId="0" fontId="28" fillId="3" borderId="28" xfId="6" applyFont="1" applyFill="1" applyBorder="1" applyProtection="1"/>
    <xf numFmtId="0" fontId="6" fillId="3" borderId="32" xfId="6" applyFill="1" applyBorder="1" applyProtection="1"/>
    <xf numFmtId="164" fontId="6" fillId="0" borderId="32" xfId="6" applyNumberFormat="1" applyBorder="1" applyProtection="1"/>
    <xf numFmtId="0" fontId="6"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5" fillId="3" borderId="32" xfId="6" applyFont="1" applyFill="1" applyBorder="1" applyProtection="1"/>
    <xf numFmtId="164" fontId="0" fillId="0" borderId="32" xfId="0" applyNumberFormat="1" applyBorder="1"/>
    <xf numFmtId="49" fontId="23" fillId="0" borderId="1" xfId="0" applyNumberFormat="1" applyFont="1" applyBorder="1"/>
    <xf numFmtId="0" fontId="23" fillId="0" borderId="32" xfId="0" applyFont="1" applyBorder="1"/>
    <xf numFmtId="0" fontId="23" fillId="0" borderId="8" xfId="0" applyFont="1" applyBorder="1" applyAlignment="1">
      <alignment horizontal="center"/>
    </xf>
    <xf numFmtId="0" fontId="23" fillId="0" borderId="18" xfId="0" applyFont="1" applyBorder="1"/>
    <xf numFmtId="0" fontId="23" fillId="0" borderId="13" xfId="0" applyFont="1" applyBorder="1" applyAlignment="1">
      <alignment horizontal="center"/>
    </xf>
    <xf numFmtId="0" fontId="23" fillId="0" borderId="5" xfId="0" applyFont="1" applyBorder="1" applyAlignment="1">
      <alignment horizontal="center"/>
    </xf>
    <xf numFmtId="38" fontId="23" fillId="0" borderId="2" xfId="0" applyNumberFormat="1" applyFont="1" applyBorder="1"/>
    <xf numFmtId="166" fontId="0" fillId="0" borderId="8" xfId="0" applyNumberFormat="1" applyBorder="1"/>
    <xf numFmtId="0" fontId="23" fillId="0" borderId="8" xfId="0" applyFont="1" applyBorder="1"/>
    <xf numFmtId="0" fontId="23" fillId="0" borderId="28" xfId="0" applyFont="1" applyBorder="1"/>
    <xf numFmtId="38" fontId="23" fillId="0" borderId="7" xfId="0" applyNumberFormat="1" applyFont="1" applyBorder="1"/>
    <xf numFmtId="0" fontId="23" fillId="0" borderId="0" xfId="0" applyFont="1" applyAlignment="1">
      <alignment vertical="center" wrapText="1"/>
    </xf>
    <xf numFmtId="38" fontId="23" fillId="0" borderId="3" xfId="0" applyNumberFormat="1" applyFont="1" applyBorder="1"/>
    <xf numFmtId="0" fontId="23" fillId="0" borderId="33" xfId="0" applyFont="1" applyBorder="1"/>
    <xf numFmtId="0" fontId="4" fillId="0" borderId="18" xfId="0" applyFont="1" applyBorder="1" applyAlignment="1">
      <alignment horizontal="left"/>
    </xf>
    <xf numFmtId="0" fontId="24" fillId="0" borderId="0" xfId="0" applyFont="1" applyAlignment="1">
      <alignment horizontal="left"/>
    </xf>
    <xf numFmtId="0" fontId="23" fillId="0" borderId="13" xfId="0" applyFont="1" applyBorder="1"/>
    <xf numFmtId="0" fontId="24" fillId="0" borderId="7" xfId="0" applyFont="1" applyBorder="1" applyAlignment="1">
      <alignment horizontal="left"/>
    </xf>
    <xf numFmtId="0" fontId="24" fillId="0" borderId="1" xfId="0" applyFont="1" applyBorder="1" applyAlignment="1">
      <alignment horizontal="left"/>
    </xf>
    <xf numFmtId="0" fontId="23" fillId="0" borderId="5" xfId="0" applyFont="1" applyBorder="1"/>
    <xf numFmtId="38" fontId="23" fillId="0" borderId="8" xfId="0" applyNumberFormat="1" applyFont="1" applyBorder="1"/>
    <xf numFmtId="0" fontId="23" fillId="0" borderId="0" xfId="0" applyFont="1" applyAlignment="1">
      <alignment horizontal="left"/>
    </xf>
    <xf numFmtId="38" fontId="23" fillId="0" borderId="0" xfId="0" applyNumberFormat="1" applyFont="1"/>
    <xf numFmtId="0" fontId="23" fillId="0" borderId="7" xfId="0" applyFont="1" applyBorder="1"/>
    <xf numFmtId="0" fontId="23" fillId="0" borderId="1" xfId="0" applyFont="1" applyBorder="1"/>
    <xf numFmtId="38" fontId="23" fillId="0" borderId="26" xfId="0" applyNumberFormat="1" applyFont="1" applyBorder="1"/>
    <xf numFmtId="38" fontId="23" fillId="0" borderId="18" xfId="0" applyNumberFormat="1" applyFont="1" applyBorder="1"/>
    <xf numFmtId="0" fontId="24" fillId="0" borderId="18" xfId="0" applyFont="1" applyBorder="1"/>
    <xf numFmtId="0" fontId="23" fillId="0" borderId="14" xfId="0" applyFont="1" applyBorder="1"/>
    <xf numFmtId="0" fontId="23" fillId="0" borderId="9" xfId="0" applyFont="1" applyBorder="1"/>
    <xf numFmtId="0" fontId="30" fillId="0" borderId="0" xfId="0" applyFont="1" applyAlignment="1">
      <alignment vertical="top" wrapText="1"/>
    </xf>
    <xf numFmtId="0" fontId="23" fillId="0" borderId="0" xfId="0" applyFont="1" applyAlignment="1">
      <alignment horizontal="center"/>
    </xf>
    <xf numFmtId="0" fontId="23" fillId="0" borderId="27" xfId="0" applyFont="1" applyBorder="1"/>
    <xf numFmtId="0" fontId="23" fillId="0" borderId="0" xfId="0" applyFont="1" applyAlignment="1">
      <alignment vertical="top"/>
    </xf>
    <xf numFmtId="0" fontId="23" fillId="0" borderId="0" xfId="0" applyFont="1" applyAlignment="1">
      <alignment horizontal="right"/>
    </xf>
    <xf numFmtId="0" fontId="36" fillId="0" borderId="0" xfId="0" applyFont="1"/>
    <xf numFmtId="0" fontId="36" fillId="0" borderId="1" xfId="0" applyFont="1" applyBorder="1" applyAlignment="1">
      <alignment horizontal="left"/>
    </xf>
    <xf numFmtId="0" fontId="36" fillId="0" borderId="0" xfId="0" applyFont="1" applyAlignment="1">
      <alignment horizontal="left"/>
    </xf>
    <xf numFmtId="0" fontId="16" fillId="0" borderId="0" xfId="0" applyFont="1" applyAlignment="1">
      <alignment horizontal="left"/>
    </xf>
    <xf numFmtId="0" fontId="37" fillId="0" borderId="0" xfId="0" applyFont="1" applyAlignment="1">
      <alignment horizontal="center" vertical="top"/>
    </xf>
    <xf numFmtId="0" fontId="36"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10" fillId="0" borderId="0" xfId="6" applyFont="1" applyProtection="1"/>
    <xf numFmtId="0" fontId="6" fillId="0" borderId="0" xfId="6" applyProtection="1"/>
    <xf numFmtId="0" fontId="0" fillId="0" borderId="27" xfId="0" applyBorder="1"/>
    <xf numFmtId="0" fontId="32"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8" fillId="4" borderId="0" xfId="6" applyFont="1" applyFill="1" applyProtection="1"/>
    <xf numFmtId="175" fontId="0" fillId="0" borderId="0" xfId="0" applyNumberFormat="1"/>
    <xf numFmtId="0" fontId="16" fillId="0" borderId="0" xfId="0" applyFont="1"/>
    <xf numFmtId="168" fontId="0" fillId="0" borderId="0" xfId="0" applyNumberFormat="1" applyAlignment="1">
      <alignment horizontal="right"/>
    </xf>
    <xf numFmtId="164" fontId="29"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8"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8" fillId="7" borderId="0" xfId="6" applyFont="1" applyFill="1" applyAlignment="1" applyProtection="1">
      <alignment horizontal="center" vertical="top"/>
    </xf>
    <xf numFmtId="0" fontId="40"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9"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8" fillId="0" borderId="0" xfId="6" applyFont="1" applyFill="1" applyAlignment="1" applyProtection="1">
      <alignment horizontal="center" vertical="top" wrapText="1"/>
    </xf>
    <xf numFmtId="0" fontId="28" fillId="0" borderId="0" xfId="6" applyFont="1" applyFill="1" applyAlignment="1" applyProtection="1">
      <alignment horizontal="center" vertical="top"/>
    </xf>
    <xf numFmtId="0" fontId="0" fillId="0" borderId="0" xfId="6" applyFont="1" applyFill="1" applyAlignment="1" applyProtection="1">
      <alignment vertical="top" wrapText="1"/>
    </xf>
    <xf numFmtId="0" fontId="46" fillId="0" borderId="0" xfId="10" applyFont="1" applyAlignment="1">
      <alignment horizontal="right"/>
    </xf>
    <xf numFmtId="179" fontId="36" fillId="2" borderId="0" xfId="10" applyNumberFormat="1" applyFont="1" applyFill="1"/>
    <xf numFmtId="0" fontId="36" fillId="0" borderId="0" xfId="10" applyFont="1"/>
    <xf numFmtId="0" fontId="0" fillId="0" borderId="1" xfId="11" applyFont="1" applyBorder="1" applyAlignment="1">
      <alignment horizontal="center"/>
    </xf>
    <xf numFmtId="0" fontId="36" fillId="0" borderId="0" xfId="10" applyFont="1" applyAlignment="1">
      <alignment horizontal="center"/>
    </xf>
    <xf numFmtId="0" fontId="36" fillId="0" borderId="0" xfId="8" applyFont="1"/>
    <xf numFmtId="37" fontId="46" fillId="0" borderId="0" xfId="8" applyNumberFormat="1" applyFont="1" applyAlignment="1">
      <alignment horizontal="left"/>
    </xf>
    <xf numFmtId="0" fontId="46" fillId="8" borderId="3" xfId="0" applyFont="1" applyFill="1" applyBorder="1" applyAlignment="1">
      <alignment horizontal="center" wrapText="1"/>
    </xf>
    <xf numFmtId="0" fontId="46" fillId="0" borderId="0" xfId="0" applyFont="1" applyAlignment="1">
      <alignment horizontal="left" vertical="top"/>
    </xf>
    <xf numFmtId="0" fontId="46" fillId="0" borderId="0" xfId="0" applyFont="1" applyAlignment="1">
      <alignment wrapText="1"/>
    </xf>
    <xf numFmtId="0" fontId="36" fillId="0" borderId="0" xfId="0" quotePrefix="1" applyFont="1" applyAlignment="1">
      <alignment horizontal="right"/>
    </xf>
    <xf numFmtId="37" fontId="36" fillId="0" borderId="3" xfId="0" applyNumberFormat="1" applyFont="1" applyBorder="1" applyProtection="1">
      <protection locked="0"/>
    </xf>
    <xf numFmtId="179" fontId="9" fillId="0" borderId="0" xfId="6" quotePrefix="1" applyNumberFormat="1" applyFont="1" applyFill="1" applyAlignment="1" applyProtection="1">
      <alignment horizontal="right"/>
    </xf>
    <xf numFmtId="0" fontId="36" fillId="0" borderId="0" xfId="0" applyFont="1" applyAlignment="1">
      <alignment horizontal="left" vertical="top"/>
    </xf>
    <xf numFmtId="37" fontId="36" fillId="0" borderId="0" xfId="0" applyNumberFormat="1" applyFont="1" applyAlignment="1">
      <alignment wrapText="1"/>
    </xf>
    <xf numFmtId="0" fontId="0" fillId="0" borderId="0" xfId="0" quotePrefix="1" applyAlignment="1">
      <alignment horizontal="left"/>
    </xf>
    <xf numFmtId="37" fontId="36" fillId="0" borderId="9" xfId="0" applyNumberFormat="1" applyFont="1" applyBorder="1"/>
    <xf numFmtId="37" fontId="36" fillId="0" borderId="3" xfId="0" applyNumberFormat="1" applyFont="1" applyBorder="1"/>
    <xf numFmtId="49" fontId="36" fillId="0" borderId="0" xfId="6" applyNumberFormat="1" applyFont="1" applyFill="1" applyAlignment="1" applyProtection="1">
      <alignment horizontal="center" vertical="top"/>
    </xf>
    <xf numFmtId="37" fontId="36" fillId="0" borderId="0" xfId="0" applyNumberFormat="1" applyFont="1"/>
    <xf numFmtId="0" fontId="36" fillId="0" borderId="0" xfId="0" applyFont="1" applyAlignment="1">
      <alignment horizontal="right"/>
    </xf>
    <xf numFmtId="0" fontId="36" fillId="0" borderId="1" xfId="10" applyFont="1" applyBorder="1" applyAlignment="1">
      <alignment horizontal="left"/>
    </xf>
    <xf numFmtId="49" fontId="36" fillId="0" borderId="1" xfId="10" applyNumberFormat="1" applyFont="1" applyBorder="1"/>
    <xf numFmtId="0" fontId="0" fillId="7" borderId="0" xfId="0" applyFill="1" applyAlignment="1">
      <alignment vertical="top" wrapText="1"/>
    </xf>
    <xf numFmtId="0" fontId="47" fillId="0" borderId="0" xfId="8" applyFont="1"/>
    <xf numFmtId="0" fontId="47" fillId="0" borderId="0" xfId="8" applyFont="1" applyAlignment="1">
      <alignment horizontal="center"/>
    </xf>
    <xf numFmtId="0" fontId="47" fillId="0" borderId="0" xfId="8" applyFont="1" applyAlignment="1">
      <alignment horizontal="right"/>
    </xf>
    <xf numFmtId="0" fontId="40" fillId="0" borderId="0" xfId="0" quotePrefix="1" applyFont="1" applyAlignment="1">
      <alignment vertical="top" wrapText="1"/>
    </xf>
    <xf numFmtId="0" fontId="0" fillId="7" borderId="0" xfId="0" applyFill="1" applyAlignment="1">
      <alignment horizontal="center" vertical="top" wrapText="1"/>
    </xf>
    <xf numFmtId="0" fontId="34"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0" fillId="7" borderId="0" xfId="0" applyFill="1"/>
    <xf numFmtId="172" fontId="0" fillId="7" borderId="0" xfId="8" applyNumberFormat="1" applyFont="1" applyFill="1"/>
    <xf numFmtId="0" fontId="6" fillId="0" borderId="0" xfId="6" applyAlignment="1" applyProtection="1">
      <alignment vertical="center"/>
    </xf>
    <xf numFmtId="0" fontId="29" fillId="3" borderId="32" xfId="6" applyFont="1" applyFill="1" applyBorder="1" applyAlignment="1" applyProtection="1">
      <alignment horizontal="center" vertical="center"/>
    </xf>
    <xf numFmtId="0" fontId="29" fillId="3" borderId="0" xfId="6" applyFont="1" applyFill="1" applyAlignment="1" applyProtection="1">
      <alignment horizontal="center" vertical="center"/>
    </xf>
    <xf numFmtId="0" fontId="29" fillId="3" borderId="1" xfId="6" applyFont="1" applyFill="1" applyBorder="1" applyAlignment="1" applyProtection="1">
      <alignment horizontal="center" vertical="center"/>
    </xf>
    <xf numFmtId="168" fontId="36" fillId="0" borderId="3" xfId="8" applyNumberFormat="1" applyFont="1" applyBorder="1"/>
    <xf numFmtId="168" fontId="49" fillId="0" borderId="3" xfId="8" applyNumberFormat="1" applyFont="1" applyBorder="1"/>
    <xf numFmtId="0" fontId="49"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4" fillId="7" borderId="0" xfId="8" applyNumberFormat="1" applyFont="1" applyFill="1" applyAlignment="1">
      <alignment horizontal="left"/>
    </xf>
    <xf numFmtId="0" fontId="34" fillId="0" borderId="0" xfId="0" applyFont="1" applyAlignment="1">
      <alignment horizontal="left"/>
    </xf>
    <xf numFmtId="0" fontId="0" fillId="4" borderId="0" xfId="0" applyFill="1" applyAlignment="1">
      <alignment vertical="center"/>
    </xf>
    <xf numFmtId="0" fontId="0" fillId="7" borderId="0" xfId="0" applyFill="1" applyAlignment="1">
      <alignment horizontal="right"/>
    </xf>
    <xf numFmtId="177" fontId="0" fillId="7" borderId="25" xfId="2" applyNumberFormat="1" applyFont="1" applyFill="1" applyBorder="1" applyAlignment="1" applyProtection="1">
      <alignment horizontal="left"/>
    </xf>
    <xf numFmtId="0" fontId="0" fillId="7" borderId="25" xfId="8" applyFont="1" applyFill="1" applyBorder="1" applyAlignment="1">
      <alignment horizontal="right"/>
    </xf>
    <xf numFmtId="0" fontId="9" fillId="3" borderId="0" xfId="6" applyFont="1" applyFill="1" applyAlignment="1" applyProtection="1">
      <alignment horizontal="right"/>
    </xf>
    <xf numFmtId="0" fontId="9" fillId="3" borderId="0" xfId="6" quotePrefix="1" applyFont="1" applyFill="1" applyAlignment="1" applyProtection="1">
      <alignment horizontal="right"/>
    </xf>
    <xf numFmtId="0" fontId="9" fillId="3" borderId="0" xfId="6" applyFont="1" applyFill="1" applyAlignment="1" applyProtection="1">
      <alignment horizontal="right" vertical="top" wrapText="1"/>
    </xf>
    <xf numFmtId="49" fontId="36" fillId="0" borderId="0" xfId="6" applyNumberFormat="1" applyFont="1" applyFill="1" applyAlignment="1" applyProtection="1">
      <alignment horizontal="right" vertical="top"/>
    </xf>
    <xf numFmtId="0" fontId="9" fillId="3" borderId="0" xfId="6" applyFont="1" applyFill="1" applyAlignment="1">
      <alignment horizontal="right"/>
      <protection locked="0"/>
    </xf>
    <xf numFmtId="49" fontId="0" fillId="0" borderId="1" xfId="0" applyNumberFormat="1" applyBorder="1" applyProtection="1">
      <protection locked="0"/>
    </xf>
    <xf numFmtId="0" fontId="0" fillId="0" borderId="1" xfId="0" applyBorder="1" applyProtection="1">
      <protection locked="0"/>
    </xf>
    <xf numFmtId="0" fontId="28" fillId="3" borderId="0" xfId="6" applyFont="1" applyFill="1" applyAlignment="1" applyProtection="1">
      <alignment horizontal="left"/>
    </xf>
    <xf numFmtId="0" fontId="9" fillId="3" borderId="0" xfId="6" applyFont="1" applyFill="1" applyBorder="1" applyAlignment="1" applyProtection="1">
      <alignment horizontal="left"/>
    </xf>
    <xf numFmtId="0" fontId="30" fillId="0" borderId="0" xfId="0" applyFont="1" applyAlignment="1">
      <alignment horizontal="center"/>
    </xf>
    <xf numFmtId="0" fontId="0" fillId="0" borderId="1" xfId="0" applyBorder="1" applyAlignment="1" applyProtection="1">
      <alignment horizontal="center"/>
      <protection locked="0"/>
    </xf>
    <xf numFmtId="0" fontId="0" fillId="0" borderId="32" xfId="0" applyBorder="1" applyAlignment="1">
      <alignment horizontal="center"/>
    </xf>
    <xf numFmtId="0" fontId="13" fillId="0" borderId="0" xfId="6" applyFont="1" applyAlignment="1" applyProtection="1">
      <alignment horizontal="center"/>
    </xf>
    <xf numFmtId="0" fontId="13" fillId="0" borderId="13" xfId="6" applyFont="1" applyBorder="1" applyAlignment="1" applyProtection="1">
      <alignment horizontal="center"/>
    </xf>
    <xf numFmtId="167" fontId="0" fillId="0" borderId="9" xfId="0" applyNumberFormat="1" applyBorder="1" applyAlignment="1" applyProtection="1">
      <alignment horizontal="left"/>
      <protection locked="0"/>
    </xf>
    <xf numFmtId="0" fontId="29" fillId="3" borderId="0" xfId="6" applyFont="1" applyFill="1" applyBorder="1" applyAlignment="1" applyProtection="1">
      <alignment horizontal="center" vertical="center"/>
    </xf>
    <xf numFmtId="49" fontId="0" fillId="0" borderId="1" xfId="0" applyNumberFormat="1" applyBorder="1" applyAlignment="1" applyProtection="1">
      <alignment horizontal="center"/>
      <protection locked="0"/>
    </xf>
    <xf numFmtId="0" fontId="0" fillId="0" borderId="1" xfId="0" applyBorder="1" applyAlignment="1" applyProtection="1">
      <alignment horizontal="left"/>
      <protection locked="0"/>
    </xf>
    <xf numFmtId="0" fontId="0" fillId="0" borderId="9" xfId="0" applyBorder="1" applyAlignment="1" applyProtection="1">
      <alignment horizontal="left"/>
      <protection locked="0"/>
    </xf>
    <xf numFmtId="0" fontId="4" fillId="0" borderId="0" xfId="0" applyFont="1" applyAlignment="1">
      <alignment horizontal="left"/>
    </xf>
    <xf numFmtId="0" fontId="18" fillId="0" borderId="0" xfId="0" applyFont="1" applyAlignment="1">
      <alignment horizontal="left"/>
    </xf>
    <xf numFmtId="0" fontId="42" fillId="0" borderId="0" xfId="0" applyFont="1" applyAlignment="1">
      <alignment horizontal="center" vertical="center" wrapText="1"/>
    </xf>
    <xf numFmtId="0" fontId="0" fillId="0" borderId="0" xfId="0" applyAlignment="1">
      <alignment horizontal="left"/>
    </xf>
    <xf numFmtId="0" fontId="0" fillId="0" borderId="0" xfId="0" applyAlignment="1">
      <alignment horizontal="center"/>
    </xf>
    <xf numFmtId="0" fontId="9" fillId="3" borderId="0" xfId="6" applyFont="1" applyFill="1" applyProtection="1"/>
    <xf numFmtId="0" fontId="4" fillId="0" borderId="0" xfId="0" applyFont="1" applyAlignment="1">
      <alignment horizontal="center"/>
    </xf>
    <xf numFmtId="0" fontId="6" fillId="0" borderId="13" xfId="6" applyBorder="1" applyAlignment="1" applyProtection="1">
      <alignment horizontal="center" vertical="center"/>
    </xf>
    <xf numFmtId="0" fontId="0" fillId="0" borderId="5" xfId="0" applyBorder="1" applyAlignment="1" applyProtection="1">
      <alignment horizontal="left"/>
      <protection locked="0"/>
    </xf>
    <xf numFmtId="0" fontId="9" fillId="3" borderId="0" xfId="6" applyFont="1" applyFill="1" applyAlignment="1" applyProtection="1">
      <alignment horizontal="right"/>
    </xf>
    <xf numFmtId="0" fontId="44"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5"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9" fillId="3" borderId="0" xfId="6" applyFont="1" applyFill="1" applyAlignment="1" applyProtection="1">
      <alignment horizontal="center"/>
    </xf>
    <xf numFmtId="0" fontId="9" fillId="3" borderId="32" xfId="6" applyFont="1" applyFill="1" applyBorder="1" applyAlignment="1" applyProtection="1">
      <alignment horizontal="center"/>
    </xf>
    <xf numFmtId="0" fontId="0" fillId="0" borderId="1" xfId="0" applyBorder="1" applyAlignment="1">
      <alignment horizontal="left"/>
    </xf>
    <xf numFmtId="49" fontId="0" fillId="0" borderId="1" xfId="0" applyNumberFormat="1" applyBorder="1" applyAlignment="1">
      <alignment horizontal="center"/>
    </xf>
    <xf numFmtId="0" fontId="11"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9" fillId="3" borderId="0" xfId="6" applyFont="1" applyFill="1" applyAlignment="1" applyProtection="1">
      <alignment horizontal="right"/>
    </xf>
    <xf numFmtId="0" fontId="43" fillId="3" borderId="0" xfId="6" applyFont="1" applyFill="1" applyAlignment="1" applyProtection="1">
      <alignment horizontal="right"/>
    </xf>
    <xf numFmtId="0" fontId="0" fillId="0" borderId="3" xfId="0" applyBorder="1" applyAlignment="1">
      <alignment horizontal="center" wrapText="1"/>
    </xf>
    <xf numFmtId="0" fontId="25" fillId="3" borderId="0" xfId="6" applyFont="1" applyFill="1" applyAlignment="1" applyProtection="1">
      <alignment horizontal="left" vertical="top" wrapText="1"/>
    </xf>
    <xf numFmtId="0" fontId="29"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6" fillId="0" borderId="32" xfId="6" applyBorder="1" applyAlignment="1" applyProtection="1">
      <alignment horizontal="center" vertical="center"/>
    </xf>
    <xf numFmtId="0" fontId="6" fillId="0" borderId="0" xfId="6" applyAlignment="1" applyProtection="1">
      <alignment horizontal="center" vertical="center"/>
    </xf>
    <xf numFmtId="0" fontId="4" fillId="0" borderId="14" xfId="0" applyFont="1" applyBorder="1" applyAlignment="1">
      <alignment horizontal="center"/>
    </xf>
    <xf numFmtId="0" fontId="4" fillId="0" borderId="9" xfId="0" applyFont="1" applyBorder="1" applyAlignment="1">
      <alignment horizontal="center"/>
    </xf>
    <xf numFmtId="0" fontId="4" fillId="0" borderId="27" xfId="0" applyFont="1" applyBorder="1" applyAlignment="1">
      <alignment horizontal="center"/>
    </xf>
    <xf numFmtId="0" fontId="4"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3" fillId="0" borderId="28" xfId="0" applyFont="1" applyBorder="1" applyAlignment="1">
      <alignment horizontal="center"/>
    </xf>
    <xf numFmtId="0" fontId="23" fillId="0" borderId="33" xfId="0" applyFont="1" applyBorder="1" applyAlignment="1">
      <alignment horizontal="center"/>
    </xf>
    <xf numFmtId="0" fontId="23" fillId="0" borderId="14" xfId="0" applyFont="1" applyBorder="1" applyAlignment="1">
      <alignment horizontal="center"/>
    </xf>
    <xf numFmtId="0" fontId="23" fillId="0" borderId="27" xfId="0" applyFont="1" applyBorder="1" applyAlignment="1">
      <alignment horizontal="center"/>
    </xf>
    <xf numFmtId="0" fontId="0" fillId="0" borderId="7" xfId="0" applyBorder="1" applyAlignment="1">
      <alignment horizontal="left"/>
    </xf>
    <xf numFmtId="0" fontId="0" fillId="0" borderId="3" xfId="0" applyBorder="1" applyAlignment="1">
      <alignment horizontal="left"/>
    </xf>
    <xf numFmtId="38" fontId="23" fillId="0" borderId="14" xfId="0" applyNumberFormat="1" applyFont="1" applyBorder="1" applyAlignment="1">
      <alignment horizontal="center"/>
    </xf>
    <xf numFmtId="38" fontId="23" fillId="0" borderId="27" xfId="0" applyNumberFormat="1" applyFont="1" applyBorder="1" applyAlignment="1">
      <alignment horizontal="center"/>
    </xf>
    <xf numFmtId="0" fontId="30" fillId="0" borderId="0" xfId="0" applyFont="1" applyAlignment="1">
      <alignment horizontal="center" vertical="top" wrapText="1"/>
    </xf>
    <xf numFmtId="0" fontId="23" fillId="0" borderId="28" xfId="0" applyFont="1" applyBorder="1" applyAlignment="1">
      <alignment horizontal="left" vertical="top" wrapText="1"/>
    </xf>
    <xf numFmtId="0" fontId="23" fillId="0" borderId="32" xfId="0" applyFont="1" applyBorder="1" applyAlignment="1">
      <alignment horizontal="left" vertical="top" wrapText="1"/>
    </xf>
    <xf numFmtId="0" fontId="23" fillId="0" borderId="33" xfId="0" applyFont="1" applyBorder="1" applyAlignment="1">
      <alignment horizontal="left" vertical="top" wrapText="1"/>
    </xf>
    <xf numFmtId="0" fontId="23" fillId="0" borderId="18" xfId="0" applyFont="1" applyBorder="1" applyAlignment="1">
      <alignment horizontal="left" vertical="top" wrapText="1"/>
    </xf>
    <xf numFmtId="0" fontId="23" fillId="0" borderId="0" xfId="0" applyFont="1" applyAlignment="1">
      <alignment horizontal="left" vertical="top" wrapText="1"/>
    </xf>
    <xf numFmtId="0" fontId="23" fillId="0" borderId="13"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horizontal="left" vertical="top" wrapText="1"/>
    </xf>
    <xf numFmtId="0" fontId="23" fillId="0" borderId="5" xfId="0" applyFont="1" applyBorder="1" applyAlignment="1">
      <alignment horizontal="left" vertical="top" wrapText="1"/>
    </xf>
    <xf numFmtId="37" fontId="4" fillId="0" borderId="0" xfId="8" applyNumberFormat="1" applyFont="1" applyAlignment="1">
      <alignment horizontal="left" wrapText="1"/>
    </xf>
    <xf numFmtId="0" fontId="4" fillId="0" borderId="0" xfId="0" applyFont="1"/>
    <xf numFmtId="37" fontId="36" fillId="0" borderId="28" xfId="0" applyNumberFormat="1" applyFont="1" applyBorder="1" applyAlignment="1" applyProtection="1">
      <alignment horizontal="left" vertical="top"/>
      <protection locked="0"/>
    </xf>
    <xf numFmtId="37" fontId="36" fillId="0" borderId="32" xfId="0" applyNumberFormat="1" applyFont="1" applyBorder="1" applyAlignment="1" applyProtection="1">
      <alignment horizontal="left" vertical="top"/>
      <protection locked="0"/>
    </xf>
    <xf numFmtId="37" fontId="36" fillId="0" borderId="33" xfId="0" applyNumberFormat="1" applyFont="1" applyBorder="1" applyAlignment="1" applyProtection="1">
      <alignment horizontal="left" vertical="top"/>
      <protection locked="0"/>
    </xf>
    <xf numFmtId="37" fontId="36" fillId="0" borderId="18" xfId="0" applyNumberFormat="1" applyFont="1" applyBorder="1" applyAlignment="1" applyProtection="1">
      <alignment horizontal="left" vertical="top"/>
      <protection locked="0"/>
    </xf>
    <xf numFmtId="37" fontId="36" fillId="0" borderId="0" xfId="0" applyNumberFormat="1" applyFont="1" applyAlignment="1" applyProtection="1">
      <alignment horizontal="left" vertical="top"/>
      <protection locked="0"/>
    </xf>
    <xf numFmtId="37" fontId="36" fillId="0" borderId="13" xfId="0" applyNumberFormat="1" applyFont="1" applyBorder="1" applyAlignment="1" applyProtection="1">
      <alignment horizontal="left" vertical="top"/>
      <protection locked="0"/>
    </xf>
    <xf numFmtId="37" fontId="36" fillId="0" borderId="7" xfId="0" applyNumberFormat="1" applyFont="1" applyBorder="1" applyAlignment="1" applyProtection="1">
      <alignment horizontal="left" vertical="top"/>
      <protection locked="0"/>
    </xf>
    <xf numFmtId="37" fontId="36" fillId="0" borderId="1" xfId="0" applyNumberFormat="1" applyFont="1" applyBorder="1" applyAlignment="1" applyProtection="1">
      <alignment horizontal="left" vertical="top"/>
      <protection locked="0"/>
    </xf>
    <xf numFmtId="37" fontId="36" fillId="0" borderId="5" xfId="0" applyNumberFormat="1" applyFont="1" applyBorder="1" applyAlignment="1" applyProtection="1">
      <alignment horizontal="left" vertical="top"/>
      <protection locked="0"/>
    </xf>
    <xf numFmtId="0" fontId="16" fillId="7" borderId="0" xfId="0" applyFont="1" applyFill="1" applyAlignment="1">
      <alignment horizontal="left" vertical="top" wrapText="1"/>
    </xf>
    <xf numFmtId="0" fontId="0" fillId="10" borderId="0" xfId="0" applyFill="1" applyAlignment="1">
      <alignment horizontal="left" vertical="top"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0" fontId="0" fillId="9" borderId="0" xfId="0" applyFill="1" applyAlignment="1">
      <alignment horizontal="left" vertical="top" wrapText="1"/>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0" fillId="0" borderId="9" xfId="0" applyBorder="1" applyAlignment="1">
      <alignment horizontal="center"/>
    </xf>
    <xf numFmtId="178" fontId="0" fillId="0" borderId="9" xfId="0" applyNumberFormat="1" applyBorder="1"/>
    <xf numFmtId="178" fontId="0" fillId="0" borderId="27" xfId="0" applyNumberFormat="1" applyBorder="1"/>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14" xfId="8" applyFont="1" applyBorder="1" applyAlignment="1">
      <alignment horizontal="center" wrapText="1"/>
    </xf>
    <xf numFmtId="0" fontId="0" fillId="0" borderId="27" xfId="8" applyFont="1" applyBorder="1" applyAlignment="1">
      <alignment horizontal="center" wrapText="1"/>
    </xf>
    <xf numFmtId="178" fontId="0" fillId="0" borderId="9" xfId="0" applyNumberFormat="1" applyBorder="1" applyAlignment="1">
      <alignment horizontal="right"/>
    </xf>
    <xf numFmtId="178" fontId="0" fillId="0" borderId="27" xfId="0" applyNumberFormat="1" applyBorder="1" applyAlignment="1">
      <alignment horizontal="right"/>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178" fontId="0" fillId="0" borderId="9" xfId="0" applyNumberFormat="1" applyBorder="1" applyProtection="1">
      <protection locked="0"/>
    </xf>
    <xf numFmtId="178" fontId="0" fillId="0" borderId="27" xfId="0" applyNumberFormat="1" applyBorder="1" applyProtection="1">
      <protection locked="0"/>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16" fillId="0" borderId="0" xfId="0" applyFont="1" applyAlignment="1">
      <alignment horizontal="left" vertical="top" wrapText="1"/>
    </xf>
    <xf numFmtId="0" fontId="34"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3" xfId="0" applyBorder="1" applyAlignment="1">
      <alignment horizontal="left"/>
    </xf>
    <xf numFmtId="0" fontId="23" fillId="0" borderId="3" xfId="0" applyFont="1" applyBorder="1" applyAlignment="1" applyProtection="1">
      <alignment horizontal="left" vertical="center" wrapText="1"/>
      <protection locked="0"/>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4" fillId="0" borderId="3" xfId="0" applyFont="1" applyBorder="1" applyAlignment="1" applyProtection="1">
      <alignment horizontal="center"/>
      <protection locked="0"/>
    </xf>
    <xf numFmtId="0" fontId="34" fillId="0" borderId="3" xfId="0" applyFont="1" applyBorder="1" applyAlignment="1" applyProtection="1">
      <alignment horizontal="center" vertical="center"/>
      <protection locked="0"/>
    </xf>
    <xf numFmtId="0" fontId="34" fillId="0" borderId="14" xfId="0" applyFont="1" applyBorder="1" applyAlignment="1" applyProtection="1">
      <alignment horizontal="center"/>
      <protection locked="0"/>
    </xf>
    <xf numFmtId="0" fontId="34" fillId="0" borderId="9" xfId="0" applyFont="1" applyBorder="1" applyAlignment="1" applyProtection="1">
      <alignment horizontal="center"/>
      <protection locked="0"/>
    </xf>
    <xf numFmtId="0" fontId="34" fillId="0" borderId="27" xfId="0" applyFont="1" applyBorder="1" applyAlignment="1" applyProtection="1">
      <alignment horizontal="center"/>
      <protection locked="0"/>
    </xf>
    <xf numFmtId="0" fontId="0" fillId="0" borderId="0" xfId="0" applyAlignment="1">
      <alignment horizontal="left" wrapText="1"/>
    </xf>
    <xf numFmtId="0" fontId="0" fillId="0" borderId="13" xfId="0" applyBorder="1" applyAlignment="1">
      <alignment horizontal="left" wrapText="1"/>
    </xf>
    <xf numFmtId="0" fontId="0" fillId="0" borderId="3" xfId="0" applyBorder="1" applyAlignment="1">
      <alignment horizontal="left" vertical="center" wrapText="1"/>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178" fontId="0" fillId="0" borderId="1" xfId="0" applyNumberFormat="1" applyBorder="1" applyProtection="1">
      <protection locked="0"/>
    </xf>
    <xf numFmtId="178" fontId="0" fillId="0" borderId="5" xfId="0" applyNumberFormat="1" applyBorder="1" applyProtection="1">
      <protection locked="0"/>
    </xf>
    <xf numFmtId="0" fontId="0" fillId="0" borderId="3" xfId="0" applyBorder="1" applyAlignment="1">
      <alignment horizontal="left" vertical="center"/>
    </xf>
    <xf numFmtId="0" fontId="17" fillId="0" borderId="0" xfId="9" applyFill="1" applyAlignment="1">
      <alignment horizontal="center" vertical="center" wrapText="1"/>
    </xf>
    <xf numFmtId="164" fontId="0" fillId="9" borderId="0" xfId="8" applyNumberFormat="1" applyFont="1" applyFill="1" applyAlignment="1">
      <alignment horizontal="left" wrapText="1"/>
    </xf>
    <xf numFmtId="0" fontId="47"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4" fillId="0" borderId="0" xfId="8" applyFont="1" applyAlignment="1">
      <alignment horizontal="center"/>
    </xf>
  </cellXfs>
  <cellStyles count="14">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2 2 2" xfId="12" xr:uid="{C2986175-82D9-4932-B5DA-87358A4A8762}"/>
    <cellStyle name="Normal 2 2 3" xfId="13" xr:uid="{A24C6185-06F6-4752-9DFA-FC37F8939590}"/>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AZ%20-%20BUDGET%20&amp;%20Reports\BUDGET%20INFO%20FY%2026\budget26.xlsx" TargetMode="External"/><Relationship Id="rId1" Type="http://schemas.openxmlformats.org/officeDocument/2006/relationships/externalLinkPath" Target="file:///Z:\AZ%20-%20BUDGET%20&amp;%20Reports\BUDGET%20INFO%20FY%2026\budge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ge 1"/>
      <sheetName val="Page 2"/>
      <sheetName val="Page 3"/>
      <sheetName val="Page 4"/>
      <sheetName val="Budget Summary"/>
      <sheetName val="Project balances"/>
      <sheetName val="Data Entry"/>
      <sheetName val="Calculations"/>
      <sheetName val="BSA55"/>
      <sheetName val="Instruction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2290846</v>
          </cell>
        </row>
      </sheetData>
      <sheetData sheetId="1">
        <row r="8">
          <cell r="E8">
            <v>1</v>
          </cell>
          <cell r="K8">
            <v>506793</v>
          </cell>
          <cell r="L8">
            <v>487328</v>
          </cell>
          <cell r="N8">
            <v>1</v>
          </cell>
        </row>
        <row r="10">
          <cell r="E10">
            <v>2</v>
          </cell>
          <cell r="K10">
            <v>103211</v>
          </cell>
          <cell r="L10">
            <v>168656</v>
          </cell>
          <cell r="N10">
            <v>2</v>
          </cell>
        </row>
        <row r="11">
          <cell r="E11">
            <v>3</v>
          </cell>
          <cell r="G11">
            <v>0</v>
          </cell>
          <cell r="K11">
            <v>13988</v>
          </cell>
          <cell r="L11">
            <v>0</v>
          </cell>
          <cell r="N11">
            <v>3</v>
          </cell>
        </row>
        <row r="12">
          <cell r="E12">
            <v>4</v>
          </cell>
          <cell r="G12">
            <v>0</v>
          </cell>
          <cell r="K12">
            <v>0</v>
          </cell>
          <cell r="L12">
            <v>3044</v>
          </cell>
          <cell r="N12">
            <v>4</v>
          </cell>
        </row>
        <row r="13">
          <cell r="E13">
            <v>5</v>
          </cell>
          <cell r="G13">
            <v>51143</v>
          </cell>
          <cell r="K13">
            <v>257998</v>
          </cell>
          <cell r="L13">
            <v>263360</v>
          </cell>
          <cell r="N13">
            <v>5</v>
          </cell>
        </row>
        <row r="14">
          <cell r="E14">
            <v>6</v>
          </cell>
          <cell r="G14">
            <v>0</v>
          </cell>
          <cell r="L14">
            <v>16275</v>
          </cell>
          <cell r="N14">
            <v>6</v>
          </cell>
        </row>
        <row r="15">
          <cell r="E15">
            <v>7</v>
          </cell>
          <cell r="G15">
            <v>0</v>
          </cell>
          <cell r="L15">
            <v>407109</v>
          </cell>
          <cell r="N15">
            <v>7</v>
          </cell>
        </row>
        <row r="16">
          <cell r="E16">
            <v>8</v>
          </cell>
          <cell r="G16">
            <v>0</v>
          </cell>
          <cell r="L16">
            <v>0</v>
          </cell>
          <cell r="N16">
            <v>8</v>
          </cell>
        </row>
        <row r="17">
          <cell r="E17">
            <v>9</v>
          </cell>
          <cell r="G17">
            <v>0</v>
          </cell>
          <cell r="L17">
            <v>136547</v>
          </cell>
          <cell r="N17">
            <v>9</v>
          </cell>
        </row>
        <row r="18">
          <cell r="E18">
            <v>10</v>
          </cell>
          <cell r="L18">
            <v>0</v>
          </cell>
        </row>
        <row r="19">
          <cell r="E19">
            <v>11</v>
          </cell>
          <cell r="L19">
            <v>29154</v>
          </cell>
        </row>
        <row r="20">
          <cell r="E20">
            <v>12</v>
          </cell>
          <cell r="L20">
            <v>0</v>
          </cell>
        </row>
        <row r="21">
          <cell r="E21">
            <v>13</v>
          </cell>
          <cell r="G21">
            <v>0</v>
          </cell>
          <cell r="L21">
            <v>0</v>
          </cell>
          <cell r="N21">
            <v>13</v>
          </cell>
        </row>
        <row r="22">
          <cell r="L22">
            <v>0</v>
          </cell>
          <cell r="N22">
            <v>14</v>
          </cell>
        </row>
        <row r="23">
          <cell r="N23">
            <v>15</v>
          </cell>
        </row>
        <row r="25">
          <cell r="E25">
            <v>16</v>
          </cell>
          <cell r="L25">
            <v>166619</v>
          </cell>
        </row>
        <row r="27">
          <cell r="E27">
            <v>17</v>
          </cell>
          <cell r="L27">
            <v>0</v>
          </cell>
        </row>
        <row r="28">
          <cell r="E28">
            <v>18</v>
          </cell>
          <cell r="L28">
            <v>0</v>
          </cell>
        </row>
        <row r="29">
          <cell r="E29">
            <v>19</v>
          </cell>
          <cell r="L29">
            <v>0</v>
          </cell>
        </row>
        <row r="30">
          <cell r="E30">
            <v>20</v>
          </cell>
          <cell r="G30">
            <v>0</v>
          </cell>
          <cell r="L30">
            <v>0</v>
          </cell>
          <cell r="N30">
            <v>20</v>
          </cell>
        </row>
        <row r="31">
          <cell r="L31">
            <v>0</v>
          </cell>
        </row>
        <row r="32">
          <cell r="E32">
            <v>22</v>
          </cell>
          <cell r="G32">
            <v>0</v>
          </cell>
          <cell r="L32">
            <v>40000</v>
          </cell>
          <cell r="N32">
            <v>22</v>
          </cell>
        </row>
        <row r="33">
          <cell r="E33">
            <v>23</v>
          </cell>
          <cell r="G33">
            <v>0</v>
          </cell>
          <cell r="L33">
            <v>0</v>
          </cell>
          <cell r="N33">
            <v>23</v>
          </cell>
        </row>
        <row r="34">
          <cell r="G34">
            <v>0</v>
          </cell>
          <cell r="L34">
            <v>0</v>
          </cell>
          <cell r="N34">
            <v>24</v>
          </cell>
        </row>
        <row r="35">
          <cell r="E35">
            <v>25</v>
          </cell>
          <cell r="G35">
            <v>0</v>
          </cell>
          <cell r="L35">
            <v>0</v>
          </cell>
          <cell r="N35">
            <v>25</v>
          </cell>
        </row>
        <row r="36">
          <cell r="G36">
            <v>0</v>
          </cell>
          <cell r="L36">
            <v>0</v>
          </cell>
          <cell r="N36">
            <v>26</v>
          </cell>
        </row>
        <row r="37">
          <cell r="G37">
            <v>20457</v>
          </cell>
          <cell r="N37">
            <v>27</v>
          </cell>
        </row>
        <row r="38">
          <cell r="N38">
            <v>28</v>
          </cell>
        </row>
        <row r="39">
          <cell r="L39">
            <v>100256</v>
          </cell>
        </row>
        <row r="40">
          <cell r="E40">
            <v>29</v>
          </cell>
          <cell r="L40">
            <v>0</v>
          </cell>
        </row>
        <row r="41">
          <cell r="E41">
            <v>30</v>
          </cell>
          <cell r="L41">
            <v>0</v>
          </cell>
        </row>
        <row r="42">
          <cell r="E42">
            <v>31</v>
          </cell>
          <cell r="L42">
            <v>0</v>
          </cell>
          <cell r="N42">
            <v>31</v>
          </cell>
        </row>
        <row r="43">
          <cell r="E43">
            <v>32</v>
          </cell>
        </row>
        <row r="44">
          <cell r="E44">
            <v>33</v>
          </cell>
          <cell r="L44">
            <v>164937</v>
          </cell>
        </row>
        <row r="45">
          <cell r="E45">
            <v>34</v>
          </cell>
          <cell r="L45">
            <v>5520</v>
          </cell>
        </row>
        <row r="46">
          <cell r="L46">
            <v>0</v>
          </cell>
        </row>
        <row r="47">
          <cell r="L47">
            <v>0</v>
          </cell>
        </row>
        <row r="48">
          <cell r="E48">
            <v>37</v>
          </cell>
          <cell r="L48">
            <v>123518</v>
          </cell>
        </row>
      </sheetData>
      <sheetData sheetId="2">
        <row r="5">
          <cell r="E5">
            <v>80603</v>
          </cell>
          <cell r="N5">
            <v>206619</v>
          </cell>
        </row>
        <row r="6">
          <cell r="E6">
            <v>5191</v>
          </cell>
        </row>
        <row r="7">
          <cell r="E7">
            <v>10000</v>
          </cell>
        </row>
        <row r="8">
          <cell r="E8">
            <v>0</v>
          </cell>
        </row>
        <row r="9">
          <cell r="E9">
            <v>0</v>
          </cell>
          <cell r="G9">
            <v>5</v>
          </cell>
        </row>
        <row r="10">
          <cell r="E10">
            <v>0</v>
          </cell>
        </row>
        <row r="11">
          <cell r="E11">
            <v>0</v>
          </cell>
          <cell r="G11">
            <v>7</v>
          </cell>
        </row>
        <row r="12">
          <cell r="E12">
            <v>22020</v>
          </cell>
          <cell r="G12">
            <v>8</v>
          </cell>
          <cell r="N12">
            <v>206619</v>
          </cell>
        </row>
        <row r="13">
          <cell r="E13">
            <v>0</v>
          </cell>
        </row>
        <row r="14">
          <cell r="E14">
            <v>0</v>
          </cell>
          <cell r="G14">
            <v>9</v>
          </cell>
        </row>
        <row r="15">
          <cell r="E15">
            <v>0</v>
          </cell>
        </row>
        <row r="16">
          <cell r="E16">
            <v>0</v>
          </cell>
        </row>
        <row r="17">
          <cell r="E17">
            <v>0</v>
          </cell>
        </row>
        <row r="18">
          <cell r="E18">
            <v>0</v>
          </cell>
        </row>
        <row r="19">
          <cell r="E19">
            <v>0</v>
          </cell>
        </row>
        <row r="20">
          <cell r="E20">
            <v>0</v>
          </cell>
        </row>
        <row r="21">
          <cell r="E21">
            <v>0</v>
          </cell>
          <cell r="G21" t="str">
            <v>1.</v>
          </cell>
          <cell r="N21">
            <v>0</v>
          </cell>
        </row>
        <row r="22">
          <cell r="N22">
            <v>0</v>
          </cell>
        </row>
        <row r="23">
          <cell r="N23">
            <v>0</v>
          </cell>
        </row>
        <row r="24">
          <cell r="E24">
            <v>0</v>
          </cell>
          <cell r="N24">
            <v>5520</v>
          </cell>
        </row>
        <row r="25">
          <cell r="E25">
            <v>0</v>
          </cell>
        </row>
        <row r="26">
          <cell r="E26">
            <v>0</v>
          </cell>
        </row>
        <row r="27">
          <cell r="E27">
            <v>0</v>
          </cell>
          <cell r="L27" t="str">
            <v>Selected expenses by type</v>
          </cell>
        </row>
        <row r="28">
          <cell r="E28">
            <v>0</v>
          </cell>
          <cell r="L28" t="str">
            <v>(Must be included on page 1)</v>
          </cell>
        </row>
        <row r="29">
          <cell r="E29">
            <v>0</v>
          </cell>
          <cell r="L29" t="str">
            <v>Audit services</v>
          </cell>
        </row>
        <row r="30">
          <cell r="E30">
            <v>0</v>
          </cell>
          <cell r="L30" t="str">
            <v>Classroom instruction</v>
          </cell>
        </row>
        <row r="31">
          <cell r="E31">
            <v>0</v>
          </cell>
        </row>
        <row r="32">
          <cell r="E32">
            <v>0</v>
          </cell>
        </row>
        <row r="33">
          <cell r="E33">
            <v>0</v>
          </cell>
        </row>
        <row r="34">
          <cell r="E34">
            <v>0</v>
          </cell>
        </row>
        <row r="35">
          <cell r="E35">
            <v>5704</v>
          </cell>
          <cell r="N35">
            <v>136547</v>
          </cell>
        </row>
        <row r="40">
          <cell r="E40">
            <v>0</v>
          </cell>
        </row>
        <row r="41">
          <cell r="E41">
            <v>0</v>
          </cell>
        </row>
        <row r="42">
          <cell r="E42">
            <v>0</v>
          </cell>
        </row>
        <row r="43">
          <cell r="E43">
            <v>0</v>
          </cell>
        </row>
        <row r="44">
          <cell r="E44">
            <v>0</v>
          </cell>
        </row>
        <row r="45">
          <cell r="E45">
            <v>0</v>
          </cell>
        </row>
        <row r="48">
          <cell r="E48">
            <v>0</v>
          </cell>
        </row>
      </sheetData>
      <sheetData sheetId="3">
        <row r="8">
          <cell r="E8">
            <v>1</v>
          </cell>
          <cell r="K8">
            <v>94530</v>
          </cell>
          <cell r="L8">
            <v>-0.61099999999999999</v>
          </cell>
        </row>
        <row r="9">
          <cell r="E9">
            <v>2</v>
          </cell>
          <cell r="G9">
            <v>10886</v>
          </cell>
          <cell r="K9">
            <v>70407</v>
          </cell>
        </row>
        <row r="10">
          <cell r="E10">
            <v>3</v>
          </cell>
          <cell r="K10">
            <v>0</v>
          </cell>
          <cell r="L10" t="str">
            <v xml:space="preserve"> </v>
          </cell>
        </row>
        <row r="11">
          <cell r="E11">
            <v>4</v>
          </cell>
          <cell r="K11">
            <v>0</v>
          </cell>
          <cell r="L11" t="str">
            <v xml:space="preserve"> </v>
          </cell>
        </row>
        <row r="12">
          <cell r="E12">
            <v>5</v>
          </cell>
          <cell r="K12">
            <v>0</v>
          </cell>
          <cell r="L12" t="str">
            <v xml:space="preserve"> </v>
          </cell>
        </row>
        <row r="13">
          <cell r="E13">
            <v>6</v>
          </cell>
          <cell r="G13">
            <v>17328</v>
          </cell>
          <cell r="K13">
            <v>164937</v>
          </cell>
          <cell r="L13">
            <v>-0.32100000000000001</v>
          </cell>
        </row>
      </sheetData>
      <sheetData sheetId="4">
        <row r="6">
          <cell r="N6">
            <v>2026</v>
          </cell>
        </row>
        <row r="9">
          <cell r="E9">
            <v>1</v>
          </cell>
          <cell r="N9">
            <v>0</v>
          </cell>
        </row>
        <row r="11">
          <cell r="E11">
            <v>2</v>
          </cell>
          <cell r="N11">
            <v>0</v>
          </cell>
        </row>
        <row r="12">
          <cell r="E12">
            <v>3</v>
          </cell>
          <cell r="N12">
            <v>0</v>
          </cell>
        </row>
        <row r="13">
          <cell r="E13">
            <v>4</v>
          </cell>
          <cell r="N13">
            <v>0</v>
          </cell>
        </row>
        <row r="14">
          <cell r="E14">
            <v>5</v>
          </cell>
          <cell r="N14">
            <v>0</v>
          </cell>
        </row>
        <row r="15">
          <cell r="E15">
            <v>6</v>
          </cell>
          <cell r="N15">
            <v>0</v>
          </cell>
        </row>
        <row r="16">
          <cell r="E16">
            <v>7</v>
          </cell>
          <cell r="N16">
            <v>0</v>
          </cell>
        </row>
        <row r="17">
          <cell r="E17">
            <v>8</v>
          </cell>
          <cell r="N17">
            <v>0</v>
          </cell>
        </row>
        <row r="18">
          <cell r="E18">
            <v>9</v>
          </cell>
          <cell r="L18">
            <v>0</v>
          </cell>
        </row>
        <row r="21">
          <cell r="E21">
            <v>10</v>
          </cell>
          <cell r="N21">
            <v>0</v>
          </cell>
        </row>
        <row r="22">
          <cell r="L22">
            <v>0</v>
          </cell>
          <cell r="N22">
            <v>0</v>
          </cell>
        </row>
        <row r="27">
          <cell r="L27">
            <v>6800</v>
          </cell>
        </row>
        <row r="30">
          <cell r="E30">
            <v>12</v>
          </cell>
          <cell r="N30">
            <v>0</v>
          </cell>
        </row>
        <row r="32">
          <cell r="E32">
            <v>13</v>
          </cell>
          <cell r="N32">
            <v>0</v>
          </cell>
        </row>
        <row r="33">
          <cell r="E33">
            <v>14</v>
          </cell>
          <cell r="N33">
            <v>0</v>
          </cell>
        </row>
        <row r="34">
          <cell r="N34">
            <v>0</v>
          </cell>
        </row>
        <row r="35">
          <cell r="E35">
            <v>16</v>
          </cell>
          <cell r="N35">
            <v>0</v>
          </cell>
        </row>
        <row r="36">
          <cell r="N36">
            <v>0</v>
          </cell>
        </row>
        <row r="37">
          <cell r="N37">
            <v>0</v>
          </cell>
        </row>
        <row r="38">
          <cell r="N38">
            <v>0</v>
          </cell>
        </row>
        <row r="39">
          <cell r="L39">
            <v>0</v>
          </cell>
        </row>
        <row r="42">
          <cell r="E42">
            <v>21</v>
          </cell>
          <cell r="N42">
            <v>0</v>
          </cell>
        </row>
        <row r="43">
          <cell r="E43">
            <v>22</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dhawkins@gervin-school.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ppData/Local/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U43"/>
  <sheetViews>
    <sheetView showGridLines="0" topLeftCell="A15" workbookViewId="0">
      <selection activeCell="V19" sqref="V19"/>
    </sheetView>
  </sheetViews>
  <sheetFormatPr defaultColWidth="9.28515625" defaultRowHeight="12.75" customHeight="1"/>
  <cols>
    <col min="1" max="1" width="8.28515625" customWidth="1"/>
    <col min="2" max="2" width="5.28515625" customWidth="1"/>
    <col min="3" max="3" width="4.5703125" customWidth="1"/>
    <col min="4" max="4" width="8.28515625" customWidth="1"/>
    <col min="5" max="5" width="5.28515625" customWidth="1"/>
    <col min="6" max="6" width="11.28515625" customWidth="1"/>
    <col min="7" max="7" width="6.5703125" customWidth="1"/>
    <col min="8" max="8" width="3" customWidth="1"/>
    <col min="9" max="9" width="11.28515625" customWidth="1"/>
    <col min="10" max="10" width="15" customWidth="1"/>
    <col min="12" max="12" width="9.5703125" customWidth="1"/>
    <col min="13" max="13" width="9.28515625" customWidth="1"/>
    <col min="14" max="14" width="11.28515625" customWidth="1"/>
    <col min="15" max="15" width="16" customWidth="1"/>
    <col min="16" max="16" width="10" bestFit="1" customWidth="1"/>
    <col min="17" max="17" width="3.5703125" customWidth="1"/>
    <col min="18" max="18" width="13.5703125" customWidth="1"/>
    <col min="19" max="19" width="3.5703125" customWidth="1"/>
    <col min="21" max="21" width="9.5703125" bestFit="1" customWidth="1"/>
  </cols>
  <sheetData>
    <row r="1" spans="1:18" ht="12.75" customHeight="1">
      <c r="A1" s="479" t="s">
        <v>0</v>
      </c>
      <c r="B1" s="480"/>
      <c r="C1" s="480"/>
      <c r="D1" s="465" t="s">
        <v>543</v>
      </c>
      <c r="E1" s="465"/>
      <c r="F1" s="465"/>
      <c r="G1" s="465"/>
      <c r="H1" s="465"/>
      <c r="I1" s="465"/>
      <c r="L1" s="1" t="s">
        <v>1</v>
      </c>
      <c r="M1" s="476" t="s">
        <v>545</v>
      </c>
      <c r="N1" s="476"/>
      <c r="O1" s="126" t="s">
        <v>2</v>
      </c>
      <c r="P1" s="5" t="s">
        <v>546</v>
      </c>
      <c r="Q1" s="127"/>
    </row>
    <row r="2" spans="1:18" ht="12.75" customHeight="1">
      <c r="D2" s="471" t="s">
        <v>3</v>
      </c>
      <c r="E2" s="471"/>
      <c r="F2" s="471"/>
      <c r="G2" s="471"/>
      <c r="H2" s="471"/>
      <c r="I2" s="471"/>
      <c r="M2" s="128"/>
      <c r="Q2" s="128"/>
      <c r="R2" s="2"/>
    </row>
    <row r="3" spans="1:18" ht="12.75" customHeight="1">
      <c r="D3" s="466" t="s">
        <v>544</v>
      </c>
      <c r="E3" s="466"/>
      <c r="F3" s="466"/>
      <c r="G3" s="466"/>
      <c r="H3" s="466"/>
      <c r="I3" s="466"/>
      <c r="M3" s="128"/>
      <c r="Q3" s="128"/>
      <c r="R3" s="2"/>
    </row>
    <row r="4" spans="1:18" ht="12.75" customHeight="1">
      <c r="D4" s="471" t="s">
        <v>4</v>
      </c>
      <c r="E4" s="471"/>
      <c r="F4" s="471"/>
      <c r="G4" s="471"/>
      <c r="H4" s="471"/>
      <c r="I4" s="471"/>
      <c r="L4" s="489"/>
      <c r="M4" s="489"/>
      <c r="N4" s="489"/>
      <c r="O4" s="489"/>
      <c r="P4" s="489"/>
      <c r="Q4" s="489"/>
      <c r="R4" s="489"/>
    </row>
    <row r="5" spans="1:18" ht="12.75" customHeight="1">
      <c r="A5" s="475" t="s">
        <v>460</v>
      </c>
      <c r="B5" s="475"/>
      <c r="C5" s="475"/>
      <c r="L5" s="481" t="str">
        <f>IF('Data Entry'!F6="","Please enter a SIS Vendor on the Data Entry tab.","")</f>
        <v/>
      </c>
      <c r="M5" s="481"/>
      <c r="N5" s="481"/>
      <c r="O5" s="481"/>
      <c r="P5" s="481"/>
      <c r="Q5" s="481"/>
      <c r="R5" s="481"/>
    </row>
    <row r="6" spans="1:18" ht="18" customHeight="1">
      <c r="A6" s="128"/>
      <c r="B6" s="501" t="s">
        <v>462</v>
      </c>
      <c r="C6" s="501"/>
      <c r="D6" s="501"/>
      <c r="E6" s="501"/>
      <c r="F6" s="501"/>
      <c r="G6" s="501"/>
      <c r="H6" s="501"/>
      <c r="I6" s="501"/>
      <c r="J6" s="91"/>
      <c r="K6" s="129" t="s">
        <v>5</v>
      </c>
      <c r="L6" s="502" t="s">
        <v>464</v>
      </c>
      <c r="M6" s="502"/>
      <c r="N6" s="502"/>
      <c r="O6" s="502"/>
      <c r="P6" s="502"/>
      <c r="Q6" s="406" t="s">
        <v>6</v>
      </c>
      <c r="R6" s="130">
        <f>[1]Cover!$R$13</f>
        <v>2290846</v>
      </c>
    </row>
    <row r="7" spans="1:18">
      <c r="A7" s="128"/>
      <c r="B7" s="128"/>
      <c r="C7" s="128"/>
      <c r="D7" s="128"/>
      <c r="E7" s="128"/>
      <c r="F7" s="128"/>
      <c r="G7" s="128"/>
      <c r="J7" s="91"/>
      <c r="K7" s="129"/>
      <c r="L7" s="502"/>
      <c r="M7" s="502"/>
      <c r="N7" s="502"/>
      <c r="O7" s="502"/>
      <c r="P7" s="502"/>
      <c r="Q7" s="406"/>
      <c r="R7" s="131"/>
    </row>
    <row r="8" spans="1:18" ht="18" customHeight="1">
      <c r="A8" s="128"/>
      <c r="B8" s="501" t="s">
        <v>7</v>
      </c>
      <c r="C8" s="501"/>
      <c r="D8" s="501"/>
      <c r="E8" s="501"/>
      <c r="F8" s="501"/>
      <c r="G8" s="501"/>
      <c r="H8" s="501"/>
      <c r="I8" s="501"/>
      <c r="J8" s="132"/>
      <c r="K8" s="129" t="s">
        <v>8</v>
      </c>
      <c r="L8" s="484" t="s">
        <v>470</v>
      </c>
      <c r="M8" s="484"/>
      <c r="N8" s="484"/>
      <c r="O8" s="484"/>
      <c r="P8" s="484"/>
      <c r="Q8" s="484"/>
      <c r="R8" s="131"/>
    </row>
    <row r="9" spans="1:18">
      <c r="A9" s="128"/>
      <c r="B9" s="128"/>
      <c r="C9" s="128"/>
      <c r="D9" s="128"/>
      <c r="E9" s="128"/>
      <c r="F9" s="128"/>
      <c r="G9" s="128"/>
      <c r="J9" s="91"/>
      <c r="L9" s="128"/>
      <c r="M9" s="128"/>
      <c r="N9" s="128"/>
      <c r="O9" t="s">
        <v>9</v>
      </c>
      <c r="P9" s="133" t="s">
        <v>10</v>
      </c>
      <c r="Q9" s="406" t="s">
        <v>6</v>
      </c>
      <c r="R9" s="10">
        <v>49500</v>
      </c>
    </row>
    <row r="10" spans="1:18" ht="12.75" customHeight="1">
      <c r="A10" s="128"/>
      <c r="B10" s="485" t="s">
        <v>11</v>
      </c>
      <c r="C10" s="485"/>
      <c r="D10" s="485"/>
      <c r="E10" s="485"/>
      <c r="F10" s="485"/>
      <c r="G10" s="485"/>
      <c r="H10" s="485"/>
      <c r="I10" s="485"/>
      <c r="J10" s="486"/>
      <c r="K10" s="129"/>
      <c r="L10" s="134"/>
      <c r="M10" s="134"/>
      <c r="N10" s="134"/>
      <c r="O10" t="s">
        <v>12</v>
      </c>
      <c r="P10" s="133" t="s">
        <v>13</v>
      </c>
      <c r="Q10" s="406" t="s">
        <v>6</v>
      </c>
      <c r="R10" s="10"/>
    </row>
    <row r="11" spans="1:18" ht="12.75" customHeight="1">
      <c r="A11" s="128"/>
      <c r="B11" s="485"/>
      <c r="C11" s="485"/>
      <c r="D11" s="485"/>
      <c r="E11" s="485"/>
      <c r="F11" s="485"/>
      <c r="G11" s="485"/>
      <c r="H11" s="485"/>
      <c r="I11" s="485"/>
      <c r="J11" s="486"/>
      <c r="O11" t="s">
        <v>14</v>
      </c>
      <c r="P11" s="133" t="s">
        <v>15</v>
      </c>
      <c r="Q11" s="406" t="s">
        <v>6</v>
      </c>
      <c r="R11" s="10">
        <v>1876600</v>
      </c>
    </row>
    <row r="12" spans="1:18" ht="12.75" customHeight="1">
      <c r="A12" s="128"/>
      <c r="B12" s="128"/>
      <c r="C12" s="128"/>
      <c r="D12" s="466" t="s">
        <v>25</v>
      </c>
      <c r="E12" s="466"/>
      <c r="F12" s="466"/>
      <c r="G12" s="466"/>
      <c r="H12" s="466"/>
      <c r="J12" s="91"/>
      <c r="O12" t="s">
        <v>16</v>
      </c>
      <c r="P12" s="133" t="s">
        <v>17</v>
      </c>
      <c r="Q12" s="406" t="s">
        <v>6</v>
      </c>
      <c r="R12" s="10">
        <v>247125</v>
      </c>
    </row>
    <row r="13" spans="1:18" ht="12.75" customHeight="1">
      <c r="B13" s="504" t="s">
        <v>18</v>
      </c>
      <c r="C13" s="504"/>
      <c r="D13" s="505"/>
      <c r="E13" s="505"/>
      <c r="F13" s="505"/>
      <c r="G13" s="505"/>
      <c r="H13" s="505"/>
      <c r="I13" s="504"/>
      <c r="J13" s="91"/>
      <c r="O13" t="s">
        <v>19</v>
      </c>
      <c r="Q13" s="406" t="s">
        <v>6</v>
      </c>
      <c r="R13" s="130">
        <f>SUM(R9:R12)</f>
        <v>2173225</v>
      </c>
    </row>
    <row r="14" spans="1:18" ht="12.75" customHeight="1">
      <c r="J14" s="91"/>
      <c r="P14" s="133"/>
      <c r="Q14" s="406"/>
      <c r="R14" s="131"/>
    </row>
    <row r="15" spans="1:18" ht="12.75" customHeight="1">
      <c r="A15" s="488" t="s">
        <v>437</v>
      </c>
      <c r="B15" s="488"/>
      <c r="C15" s="488"/>
      <c r="D15" s="488"/>
      <c r="E15" s="488"/>
      <c r="F15" s="477"/>
      <c r="G15" s="477"/>
      <c r="H15" s="477"/>
      <c r="I15" s="477"/>
      <c r="J15" s="487"/>
      <c r="L15" s="482" t="s">
        <v>20</v>
      </c>
      <c r="M15" s="482"/>
      <c r="N15" s="482"/>
      <c r="O15" s="477" t="s">
        <v>547</v>
      </c>
      <c r="P15" s="477"/>
      <c r="Q15" s="477"/>
      <c r="R15" s="477"/>
    </row>
    <row r="16" spans="1:18" ht="12.75" customHeight="1">
      <c r="J16" s="91"/>
      <c r="L16" t="s">
        <v>22</v>
      </c>
      <c r="M16" s="500">
        <v>2105688800</v>
      </c>
      <c r="N16" s="500"/>
      <c r="O16" s="406" t="s">
        <v>23</v>
      </c>
      <c r="P16" s="478" t="s">
        <v>548</v>
      </c>
      <c r="Q16" s="478"/>
      <c r="R16" s="478"/>
    </row>
    <row r="17" spans="1:21" ht="12.75" customHeight="1">
      <c r="A17" s="2"/>
      <c r="B17" s="483" t="s">
        <v>21</v>
      </c>
      <c r="C17" s="483"/>
      <c r="D17" s="483"/>
      <c r="E17" s="483"/>
      <c r="F17" s="483"/>
      <c r="G17" s="483"/>
      <c r="H17" s="483"/>
      <c r="I17" s="483"/>
      <c r="J17" s="91"/>
      <c r="P17" s="133"/>
      <c r="Q17" s="406"/>
      <c r="R17" s="131"/>
    </row>
    <row r="18" spans="1:21" ht="12.75" customHeight="1">
      <c r="J18" s="91"/>
      <c r="L18" s="482" t="s">
        <v>465</v>
      </c>
      <c r="M18" s="482"/>
      <c r="N18" s="482"/>
      <c r="O18" s="482"/>
      <c r="P18" s="482"/>
      <c r="Q18" s="482"/>
      <c r="R18" s="482"/>
    </row>
    <row r="19" spans="1:21" ht="12.75" customHeight="1">
      <c r="J19" s="91"/>
      <c r="L19" s="482" t="s">
        <v>24</v>
      </c>
      <c r="M19" s="482"/>
      <c r="N19" s="482"/>
      <c r="O19" s="482"/>
      <c r="P19" s="503">
        <v>46211</v>
      </c>
      <c r="Q19" s="503"/>
      <c r="R19" s="503"/>
    </row>
    <row r="20" spans="1:21" ht="12.75" customHeight="1">
      <c r="B20" s="483" t="s">
        <v>463</v>
      </c>
      <c r="C20" s="483"/>
      <c r="D20" s="483"/>
      <c r="E20" s="483"/>
      <c r="F20" s="483"/>
      <c r="G20" s="483"/>
      <c r="H20" s="483"/>
      <c r="I20" s="483"/>
      <c r="J20" s="91"/>
      <c r="L20" s="469" t="s">
        <v>26</v>
      </c>
      <c r="M20" s="469"/>
      <c r="N20" s="469"/>
      <c r="O20" s="469"/>
      <c r="P20" s="471" t="s">
        <v>27</v>
      </c>
      <c r="Q20" s="471"/>
      <c r="R20" s="471"/>
    </row>
    <row r="21" spans="1:21" ht="12.75" customHeight="1">
      <c r="C21" s="482" t="s">
        <v>25</v>
      </c>
      <c r="D21" s="482"/>
      <c r="F21" s="503">
        <v>46204</v>
      </c>
      <c r="G21" s="503"/>
      <c r="H21" s="503"/>
      <c r="I21" s="135" t="str">
        <f>IF(AND(ISNUMBER(SEARCH("Proposed*",D12)),F21=""),"Please enter a Proposed Date","")</f>
        <v/>
      </c>
      <c r="J21" s="91"/>
      <c r="L21" s="499"/>
      <c r="M21" s="499"/>
      <c r="N21" s="499"/>
      <c r="O21" s="499"/>
      <c r="P21" s="499"/>
      <c r="Q21" s="499"/>
      <c r="R21" s="499"/>
    </row>
    <row r="22" spans="1:21" ht="12.75" customHeight="1">
      <c r="C22" s="482" t="s">
        <v>28</v>
      </c>
      <c r="D22" s="482"/>
      <c r="F22" s="474"/>
      <c r="G22" s="474"/>
      <c r="H22" s="474"/>
      <c r="I22" s="135" t="str">
        <f>IF(AND(ISNUMBER(SEARCH("Adopted*",D12)),F22=""),"Please enter an Adopted Date","")</f>
        <v/>
      </c>
      <c r="J22" s="91"/>
      <c r="L22" s="466"/>
      <c r="M22" s="466"/>
      <c r="N22" s="466"/>
      <c r="O22" s="138"/>
      <c r="P22" s="466"/>
      <c r="Q22" s="466"/>
      <c r="R22" s="466"/>
    </row>
    <row r="23" spans="1:21" ht="12.75" customHeight="1">
      <c r="A23" s="2"/>
      <c r="C23" s="482" t="s">
        <v>29</v>
      </c>
      <c r="D23" s="482"/>
      <c r="F23" s="474"/>
      <c r="G23" s="474"/>
      <c r="H23" s="474"/>
      <c r="I23" s="136" t="str">
        <f>IF(AND(ISNUMBER(SEARCH("Revised*",D12)),F23=""),"Please enter a Revised Date","")</f>
        <v/>
      </c>
      <c r="J23" s="137"/>
      <c r="L23" s="471" t="s">
        <v>31</v>
      </c>
      <c r="M23" s="471"/>
      <c r="N23" s="471"/>
      <c r="O23" s="139"/>
      <c r="P23" s="471" t="s">
        <v>31</v>
      </c>
      <c r="Q23" s="471"/>
      <c r="R23" s="471"/>
      <c r="S23" s="140"/>
      <c r="T23" s="140"/>
      <c r="U23" s="140"/>
    </row>
    <row r="24" spans="1:21" ht="12.75" customHeight="1">
      <c r="F24" s="471" t="s">
        <v>30</v>
      </c>
      <c r="G24" s="471"/>
      <c r="H24" s="471"/>
      <c r="J24" s="91"/>
    </row>
    <row r="25" spans="1:21" ht="12.75" customHeight="1">
      <c r="B25" s="3"/>
      <c r="E25" s="141"/>
      <c r="J25" s="91"/>
      <c r="L25" s="469" t="str">
        <f>IF(OR(L26="",P26=""),"Please enter typed school official names","")</f>
        <v/>
      </c>
      <c r="M25" s="469"/>
      <c r="N25" s="469"/>
      <c r="O25" s="469"/>
      <c r="P25" s="469"/>
      <c r="Q25" s="469"/>
      <c r="R25" s="469"/>
      <c r="U25" s="142"/>
    </row>
    <row r="26" spans="1:21" ht="12.75" customHeight="1">
      <c r="A26" s="472"/>
      <c r="B26" s="472"/>
      <c r="C26" s="472"/>
      <c r="D26" s="472"/>
      <c r="E26" s="472"/>
      <c r="F26" s="472"/>
      <c r="G26" s="472"/>
      <c r="H26" s="472"/>
      <c r="I26" s="472"/>
      <c r="J26" s="473"/>
      <c r="L26" s="466" t="s">
        <v>549</v>
      </c>
      <c r="M26" s="466"/>
      <c r="N26" s="466"/>
      <c r="O26" s="139"/>
      <c r="P26" s="466" t="s">
        <v>550</v>
      </c>
      <c r="Q26" s="466"/>
      <c r="R26" s="466"/>
    </row>
    <row r="27" spans="1:21" ht="12.75" customHeight="1">
      <c r="A27" s="472"/>
      <c r="B27" s="472"/>
      <c r="C27" s="472"/>
      <c r="D27" s="472"/>
      <c r="E27" s="472"/>
      <c r="F27" s="472"/>
      <c r="G27" s="472"/>
      <c r="H27" s="472"/>
      <c r="I27" s="472"/>
      <c r="J27" s="473"/>
      <c r="L27" s="471" t="s">
        <v>32</v>
      </c>
      <c r="M27" s="471"/>
      <c r="N27" s="471"/>
      <c r="O27" s="139"/>
      <c r="P27" s="471" t="s">
        <v>32</v>
      </c>
      <c r="Q27" s="471"/>
      <c r="R27" s="471"/>
    </row>
    <row r="28" spans="1:21" ht="12.75" customHeight="1">
      <c r="A28" s="472"/>
      <c r="B28" s="472"/>
      <c r="C28" s="472"/>
      <c r="D28" s="472"/>
      <c r="E28" s="472"/>
      <c r="F28" s="472"/>
      <c r="G28" s="472"/>
      <c r="H28" s="472"/>
      <c r="I28" s="472"/>
      <c r="J28" s="473"/>
    </row>
    <row r="29" spans="1:21" ht="12.75" customHeight="1">
      <c r="B29" s="2"/>
      <c r="C29" s="3"/>
      <c r="D29" s="3"/>
      <c r="F29" s="2"/>
      <c r="G29" s="143"/>
      <c r="H29" s="128"/>
      <c r="I29" s="128"/>
      <c r="J29" s="132"/>
      <c r="L29" s="467" t="s">
        <v>33</v>
      </c>
      <c r="M29" s="467"/>
      <c r="N29" s="468"/>
      <c r="O29" s="468"/>
      <c r="P29" s="468"/>
      <c r="Q29" s="468"/>
      <c r="R29" s="468"/>
      <c r="S29" s="467"/>
    </row>
    <row r="30" spans="1:21" ht="12" customHeight="1" thickBot="1">
      <c r="A30" s="466"/>
      <c r="B30" s="466"/>
      <c r="C30" s="466"/>
      <c r="D30" s="466"/>
      <c r="E30" s="466"/>
      <c r="F30" s="2"/>
      <c r="G30" s="470"/>
      <c r="H30" s="470"/>
      <c r="I30" s="470"/>
      <c r="J30" s="132"/>
      <c r="L30" s="469" t="str">
        <f>IF((BudgetYearSalary)=0,"Average teacher salary information is not complete.",IF(AND((PriorYearSalary)=0,(L31)=""),"Average teacher salary information is not complete.",""))</f>
        <v/>
      </c>
      <c r="M30" s="469"/>
      <c r="N30" s="469"/>
      <c r="O30" s="469"/>
      <c r="P30" s="469"/>
      <c r="Q30" s="469"/>
      <c r="R30" s="469"/>
      <c r="S30" s="6"/>
    </row>
    <row r="31" spans="1:21" ht="13.5" customHeight="1" thickBot="1">
      <c r="H31" s="128"/>
      <c r="I31" s="128"/>
      <c r="J31" s="132"/>
      <c r="L31" s="32"/>
      <c r="M31" s="144" t="s">
        <v>466</v>
      </c>
      <c r="N31" s="94"/>
      <c r="O31" s="94"/>
      <c r="P31" s="94"/>
      <c r="Q31" s="94"/>
      <c r="R31" s="94"/>
    </row>
    <row r="32" spans="1:21" ht="12.75" customHeight="1">
      <c r="A32" s="466"/>
      <c r="B32" s="466"/>
      <c r="C32" s="466"/>
      <c r="D32" s="466"/>
      <c r="E32" s="466"/>
      <c r="F32" s="2"/>
      <c r="G32" s="470"/>
      <c r="H32" s="470"/>
      <c r="I32" s="470"/>
      <c r="J32" s="91"/>
      <c r="L32" s="144" t="s">
        <v>467</v>
      </c>
      <c r="M32" s="145"/>
      <c r="N32" s="145"/>
      <c r="O32" s="146"/>
      <c r="P32" s="146"/>
      <c r="Q32" s="406" t="s">
        <v>6</v>
      </c>
      <c r="R32" s="26">
        <v>48686</v>
      </c>
      <c r="S32" s="147" t="str">
        <f>IF(OR(BudgetYearSalary=0,PriorYearSalary=0),1/ERROR,"")</f>
        <v/>
      </c>
    </row>
    <row r="33" spans="1:18" ht="12.75" customHeight="1">
      <c r="J33" s="91"/>
      <c r="L33" s="144" t="s">
        <v>468</v>
      </c>
      <c r="O33" s="146"/>
      <c r="P33" s="146"/>
      <c r="Q33" s="406" t="s">
        <v>6</v>
      </c>
      <c r="R33" s="10">
        <v>48236</v>
      </c>
    </row>
    <row r="34" spans="1:18" ht="12.75" customHeight="1">
      <c r="A34" s="466"/>
      <c r="B34" s="466"/>
      <c r="C34" s="466"/>
      <c r="D34" s="466"/>
      <c r="E34" s="466"/>
      <c r="F34" s="2"/>
      <c r="G34" s="470"/>
      <c r="H34" s="470"/>
      <c r="I34" s="470"/>
      <c r="J34" s="91"/>
      <c r="L34" s="144" t="s">
        <v>469</v>
      </c>
      <c r="O34" s="146"/>
      <c r="P34" s="146"/>
      <c r="Q34" s="406" t="s">
        <v>6</v>
      </c>
      <c r="R34" s="130">
        <f>R32-R33</f>
        <v>450</v>
      </c>
    </row>
    <row r="35" spans="1:18" ht="12.75" customHeight="1">
      <c r="J35" s="91"/>
      <c r="L35" s="144" t="s">
        <v>34</v>
      </c>
      <c r="Q35" s="406"/>
      <c r="R35" s="148">
        <f>IF(PriorYearSalary&gt;0,R34/R33,0)</f>
        <v>8.9999999999999993E-3</v>
      </c>
    </row>
    <row r="36" spans="1:18" ht="12.75" customHeight="1">
      <c r="A36" s="466"/>
      <c r="B36" s="466"/>
      <c r="C36" s="466"/>
      <c r="D36" s="466"/>
      <c r="E36" s="466"/>
      <c r="F36" s="2"/>
      <c r="G36" s="470"/>
      <c r="H36" s="470"/>
      <c r="I36" s="470"/>
      <c r="J36" s="91"/>
      <c r="L36" s="490" t="s">
        <v>35</v>
      </c>
      <c r="M36" s="491"/>
      <c r="N36" s="491"/>
      <c r="O36" s="491"/>
      <c r="P36" s="491"/>
      <c r="Q36" s="491"/>
      <c r="R36" s="492"/>
    </row>
    <row r="37" spans="1:18" ht="12.75" customHeight="1">
      <c r="D37" s="128"/>
      <c r="E37" s="128"/>
      <c r="F37" s="128"/>
      <c r="G37" s="128"/>
      <c r="J37" s="91"/>
      <c r="K37" s="53"/>
      <c r="L37" s="493"/>
      <c r="M37" s="494"/>
      <c r="N37" s="494"/>
      <c r="O37" s="494"/>
      <c r="P37" s="494"/>
      <c r="Q37" s="494"/>
      <c r="R37" s="495"/>
    </row>
    <row r="38" spans="1:18" ht="12.75" customHeight="1">
      <c r="A38" s="466"/>
      <c r="B38" s="466"/>
      <c r="C38" s="466"/>
      <c r="D38" s="466"/>
      <c r="E38" s="466"/>
      <c r="F38" s="2"/>
      <c r="G38" s="470"/>
      <c r="H38" s="470"/>
      <c r="I38" s="470"/>
      <c r="K38" s="53"/>
      <c r="L38" s="493"/>
      <c r="M38" s="494"/>
      <c r="N38" s="494"/>
      <c r="O38" s="494"/>
      <c r="P38" s="494"/>
      <c r="Q38" s="494"/>
      <c r="R38" s="495"/>
    </row>
    <row r="39" spans="1:18" ht="12.75" customHeight="1">
      <c r="D39" s="128"/>
      <c r="E39" s="128"/>
      <c r="F39" s="128"/>
      <c r="G39" s="128"/>
      <c r="K39" s="53"/>
      <c r="L39" s="493"/>
      <c r="M39" s="494"/>
      <c r="N39" s="494"/>
      <c r="O39" s="494"/>
      <c r="P39" s="494"/>
      <c r="Q39" s="494"/>
      <c r="R39" s="495"/>
    </row>
    <row r="40" spans="1:18" ht="12.75" customHeight="1">
      <c r="A40" s="466"/>
      <c r="B40" s="466"/>
      <c r="C40" s="466"/>
      <c r="D40" s="466"/>
      <c r="E40" s="466"/>
      <c r="F40" s="2"/>
      <c r="G40" s="470"/>
      <c r="H40" s="470"/>
      <c r="I40" s="470"/>
      <c r="K40" s="53"/>
      <c r="L40" s="493"/>
      <c r="M40" s="494"/>
      <c r="N40" s="494"/>
      <c r="O40" s="494"/>
      <c r="P40" s="494"/>
      <c r="Q40" s="494"/>
      <c r="R40" s="495"/>
    </row>
    <row r="41" spans="1:18" ht="12.75" customHeight="1">
      <c r="D41" s="128"/>
      <c r="E41" s="128"/>
      <c r="F41" s="128"/>
      <c r="G41" s="128"/>
      <c r="K41" s="53"/>
      <c r="L41" s="493"/>
      <c r="M41" s="494"/>
      <c r="N41" s="494"/>
      <c r="O41" s="494"/>
      <c r="P41" s="494"/>
      <c r="Q41" s="494"/>
      <c r="R41" s="495"/>
    </row>
    <row r="42" spans="1:18" ht="12.75" customHeight="1">
      <c r="A42" s="466"/>
      <c r="B42" s="466"/>
      <c r="C42" s="466"/>
      <c r="D42" s="466"/>
      <c r="E42" s="466"/>
      <c r="F42" s="2"/>
      <c r="G42" s="470"/>
      <c r="H42" s="470"/>
      <c r="I42" s="470"/>
      <c r="K42" s="53"/>
      <c r="L42" s="496"/>
      <c r="M42" s="497"/>
      <c r="N42" s="497"/>
      <c r="O42" s="497"/>
      <c r="P42" s="497"/>
      <c r="Q42" s="497"/>
      <c r="R42" s="498"/>
    </row>
    <row r="43" spans="1:18" ht="12.75" customHeight="1">
      <c r="A43" s="471" t="s">
        <v>36</v>
      </c>
      <c r="B43" s="471"/>
      <c r="C43" s="471"/>
      <c r="D43" s="471"/>
      <c r="E43" s="471"/>
      <c r="F43" s="149"/>
      <c r="G43" s="471" t="s">
        <v>37</v>
      </c>
      <c r="H43" s="471"/>
      <c r="I43" s="471"/>
    </row>
  </sheetData>
  <sheetProtection formatColumns="0" formatRows="0"/>
  <mergeCells count="71">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 ref="B11:I11"/>
    <mergeCell ref="L19:O19"/>
    <mergeCell ref="J10:J11"/>
    <mergeCell ref="F15:J15"/>
    <mergeCell ref="A15:E15"/>
    <mergeCell ref="L23:N23"/>
    <mergeCell ref="L15:N15"/>
    <mergeCell ref="L22:N22"/>
    <mergeCell ref="L18:R18"/>
    <mergeCell ref="L8:Q8"/>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A30:E30"/>
    <mergeCell ref="A36:E36"/>
    <mergeCell ref="G36:I36"/>
    <mergeCell ref="A34:E34"/>
    <mergeCell ref="G32:I32"/>
    <mergeCell ref="G30:I30"/>
    <mergeCell ref="A43:E43"/>
    <mergeCell ref="A38:E38"/>
    <mergeCell ref="A40:E40"/>
    <mergeCell ref="G42:I42"/>
    <mergeCell ref="G43:I43"/>
    <mergeCell ref="A42:E42"/>
    <mergeCell ref="G38:I38"/>
    <mergeCell ref="D1:I1"/>
    <mergeCell ref="D3:I3"/>
    <mergeCell ref="L29:S29"/>
    <mergeCell ref="L30:R30"/>
    <mergeCell ref="G40:I40"/>
    <mergeCell ref="P23:R23"/>
    <mergeCell ref="P27:R27"/>
    <mergeCell ref="P26:R26"/>
    <mergeCell ref="A28:J28"/>
    <mergeCell ref="F24:H24"/>
    <mergeCell ref="D2:I2"/>
    <mergeCell ref="D12:H12"/>
    <mergeCell ref="D4:I4"/>
    <mergeCell ref="G34:I34"/>
    <mergeCell ref="F23:H23"/>
    <mergeCell ref="A32:E32"/>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00000000-0002-0000-0100-000008000000}">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 ref="P16" r:id="rId1" xr:uid="{294B6EA4-AF5B-4DED-9D26-855F4446C157}"/>
  </hyperlinks>
  <printOptions horizontalCentered="1" verticalCentered="1"/>
  <pageMargins left="0.75" right="0.5" top="0.25" bottom="0.25" header="0" footer="0"/>
  <pageSetup paperSize="5" scale="77" orientation="landscape" r:id="rId2"/>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79"/>
  <sheetViews>
    <sheetView showGridLines="0" zoomScale="81" workbookViewId="0"/>
  </sheetViews>
  <sheetFormatPr defaultColWidth="9" defaultRowHeight="12.75"/>
  <cols>
    <col min="1" max="1" width="43.5703125" style="121" bestFit="1" customWidth="1"/>
    <col min="2" max="2" width="22.28515625" style="121" bestFit="1" customWidth="1"/>
    <col min="3" max="3" width="22.28515625" style="121" customWidth="1"/>
    <col min="4" max="4" width="22.28515625" style="121" bestFit="1" customWidth="1"/>
    <col min="5" max="5" width="22.28515625" style="121" customWidth="1"/>
    <col min="6" max="6" width="17.28515625" style="121" customWidth="1"/>
    <col min="7" max="7" width="22.28515625" style="121" customWidth="1"/>
    <col min="8" max="8" width="17.5703125" style="121" bestFit="1" customWidth="1"/>
    <col min="9" max="9" width="14.28515625" style="121" customWidth="1"/>
    <col min="10" max="10" width="14.5703125" style="121" customWidth="1"/>
    <col min="11" max="16" width="9" style="121" customWidth="1"/>
    <col min="17" max="16384" width="9" style="121"/>
  </cols>
  <sheetData>
    <row r="1" spans="1:10">
      <c r="A1" s="36" t="s">
        <v>0</v>
      </c>
      <c r="B1" s="506" t="str">
        <f>CharterName</f>
        <v>George Gervin Youth Center, INC</v>
      </c>
      <c r="C1" s="506"/>
      <c r="D1" s="36" t="s">
        <v>1</v>
      </c>
      <c r="E1" s="624" t="str">
        <f>Cover!M1</f>
        <v>Maricopa</v>
      </c>
      <c r="F1" s="506"/>
      <c r="G1" s="506"/>
      <c r="H1" s="36" t="s">
        <v>2</v>
      </c>
      <c r="I1" s="507" t="str">
        <f>CTD</f>
        <v>078585000</v>
      </c>
      <c r="J1" s="507"/>
    </row>
    <row r="2" spans="1:10">
      <c r="A2" s="36"/>
      <c r="B2" s="155"/>
      <c r="C2" s="2"/>
      <c r="D2" s="36"/>
      <c r="E2" s="155"/>
      <c r="F2" s="2"/>
      <c r="G2" s="2"/>
      <c r="H2"/>
      <c r="I2" s="36"/>
      <c r="J2" s="2"/>
    </row>
    <row r="3" spans="1:10">
      <c r="A3" s="625" t="str">
        <f>IF(CharterName&lt;&gt;0,CharterName,"")</f>
        <v>George Gervin Youth Center, INC</v>
      </c>
      <c r="B3" s="625"/>
      <c r="C3" s="625"/>
      <c r="D3" s="625"/>
      <c r="E3" s="625"/>
      <c r="F3" s="625"/>
      <c r="G3" s="625"/>
      <c r="H3" s="625"/>
      <c r="I3" s="625"/>
      <c r="J3" s="625"/>
    </row>
    <row r="4" spans="1:10">
      <c r="A4" s="485" t="s">
        <v>325</v>
      </c>
      <c r="B4" s="485"/>
      <c r="C4" s="485"/>
      <c r="D4" s="485"/>
      <c r="E4" s="485"/>
      <c r="F4" s="485"/>
      <c r="G4" s="485"/>
      <c r="H4" s="485"/>
      <c r="I4" s="485"/>
      <c r="J4" s="485"/>
    </row>
    <row r="5" spans="1:10">
      <c r="A5" s="485" t="s">
        <v>462</v>
      </c>
      <c r="B5" s="485"/>
      <c r="C5" s="485"/>
      <c r="D5" s="485"/>
      <c r="E5" s="485"/>
      <c r="F5" s="485"/>
      <c r="G5" s="485"/>
      <c r="H5" s="485"/>
      <c r="I5" s="485"/>
      <c r="J5" s="485"/>
    </row>
    <row r="6" spans="1:10" s="122" customFormat="1" ht="13.5" thickBot="1">
      <c r="A6" s="156"/>
      <c r="B6" s="156"/>
      <c r="C6" s="156"/>
      <c r="D6" s="156"/>
      <c r="E6" s="156"/>
      <c r="F6" s="156"/>
      <c r="G6" s="156"/>
      <c r="H6" s="156"/>
      <c r="I6" s="156"/>
      <c r="J6" s="157" t="s">
        <v>326</v>
      </c>
    </row>
    <row r="7" spans="1:10" ht="51">
      <c r="A7" s="1" t="s">
        <v>327</v>
      </c>
      <c r="B7" s="158" t="s">
        <v>328</v>
      </c>
      <c r="C7" s="158" t="s">
        <v>329</v>
      </c>
      <c r="D7" s="158" t="s">
        <v>330</v>
      </c>
      <c r="E7" s="158" t="s">
        <v>331</v>
      </c>
      <c r="F7" s="158" t="s">
        <v>332</v>
      </c>
      <c r="G7" s="158" t="s">
        <v>333</v>
      </c>
      <c r="H7" s="158" t="s">
        <v>334</v>
      </c>
      <c r="I7"/>
      <c r="J7"/>
    </row>
    <row r="8" spans="1:10">
      <c r="A8" s="124" t="s">
        <v>251</v>
      </c>
      <c r="B8" s="159">
        <f>NonAOIStudCntPSDCY</f>
        <v>0</v>
      </c>
      <c r="C8" s="159">
        <v>0</v>
      </c>
      <c r="D8" s="159">
        <v>0</v>
      </c>
      <c r="E8" s="159">
        <f>IF(AND(B8=0,C8=0,D8=0),0,1.45)</f>
        <v>0</v>
      </c>
      <c r="F8" s="159">
        <f>B8*E8</f>
        <v>0</v>
      </c>
      <c r="G8" s="159">
        <f>E8*C8</f>
        <v>0</v>
      </c>
      <c r="H8" s="159">
        <f>E8*D8</f>
        <v>0</v>
      </c>
      <c r="I8"/>
      <c r="J8"/>
    </row>
    <row r="9" spans="1:10">
      <c r="A9" s="124" t="s">
        <v>335</v>
      </c>
      <c r="B9" s="159">
        <f>NonAOIStudCntK8CY</f>
        <v>0</v>
      </c>
      <c r="C9" s="159">
        <f>AOIFTStudCntK8CY</f>
        <v>0</v>
      </c>
      <c r="D9" s="159">
        <f>AOIPTStudCntK8CY</f>
        <v>0</v>
      </c>
      <c r="E9" s="159">
        <f>IF(AND(B9=0,C9=0,D9=0),0,IF(OR('Data Entry'!B29="X",'Data Entry'!B30="X",'Data Entry'!B31="X",'Data Entry'!B32="X"),Calculations!L58,Calculations!L57))</f>
        <v>0</v>
      </c>
      <c r="F9" s="159">
        <f>B9*E9</f>
        <v>0</v>
      </c>
      <c r="G9" s="159">
        <f>E9*C9</f>
        <v>0</v>
      </c>
      <c r="H9" s="159">
        <f>E9*D9</f>
        <v>0</v>
      </c>
      <c r="I9"/>
      <c r="J9"/>
    </row>
    <row r="10" spans="1:10">
      <c r="A10" s="124" t="s">
        <v>253</v>
      </c>
      <c r="B10" s="159">
        <f>NonAOIStudCnt912CY</f>
        <v>0</v>
      </c>
      <c r="C10" s="159">
        <f>AOIFTStudCnt912CY</f>
        <v>0</v>
      </c>
      <c r="D10" s="159">
        <f>AOIPTStudCnt912CY</f>
        <v>0</v>
      </c>
      <c r="E10" s="159">
        <f>IF(AND(B10=0,C10=0,D10=0),0,IF(OR('Data Entry'!B29="X",'Data Entry'!B30="X",'Data Entry'!B31="X",'Data Entry'!B32="X"),Calculations!N58,Calculations!N57))</f>
        <v>0</v>
      </c>
      <c r="F10" s="159">
        <f>B10*E10</f>
        <v>0</v>
      </c>
      <c r="G10" s="159">
        <f>E10*C10</f>
        <v>0</v>
      </c>
      <c r="H10" s="159">
        <f>E10*D10</f>
        <v>0</v>
      </c>
      <c r="I10"/>
      <c r="J10"/>
    </row>
    <row r="11" spans="1:10">
      <c r="A11" s="160" t="s">
        <v>336</v>
      </c>
      <c r="B11" s="161">
        <f>SUM(B8:B10)</f>
        <v>0</v>
      </c>
      <c r="C11" s="162">
        <f>SUM(C8:C10)</f>
        <v>0</v>
      </c>
      <c r="D11" s="162">
        <f>SUM(D8:D10)</f>
        <v>0</v>
      </c>
      <c r="E11" s="163"/>
      <c r="F11" s="163"/>
      <c r="G11" s="163"/>
      <c r="H11" s="163"/>
      <c r="I11"/>
      <c r="J11"/>
    </row>
    <row r="12" spans="1:10" ht="12.75" customHeight="1">
      <c r="A12" s="164" t="s">
        <v>337</v>
      </c>
      <c r="B12" s="165"/>
      <c r="C12" s="163"/>
      <c r="D12" s="162">
        <f>SUM(B11:D11)</f>
        <v>0</v>
      </c>
      <c r="E12" s="163"/>
      <c r="F12" s="163"/>
      <c r="G12" s="163"/>
      <c r="H12" s="163"/>
      <c r="I12"/>
      <c r="J12"/>
    </row>
    <row r="13" spans="1:10" ht="12.75" customHeight="1">
      <c r="A13" s="94" t="s">
        <v>338</v>
      </c>
      <c r="B13" s="166"/>
      <c r="C13" s="163"/>
      <c r="D13" s="163"/>
      <c r="E13" s="163"/>
      <c r="F13" s="162">
        <f>((B8*E8)+(B9*E9)+(B10*E10))</f>
        <v>0</v>
      </c>
      <c r="G13" s="162">
        <f>((C8*E8)+(C9*E9)+(C10*E10))</f>
        <v>0</v>
      </c>
      <c r="H13" s="162">
        <f>((D8*E8)+(D9*E9)+(D10*E10))</f>
        <v>0</v>
      </c>
      <c r="I13"/>
      <c r="J13"/>
    </row>
    <row r="14" spans="1:10" ht="12.75" customHeight="1" thickBot="1">
      <c r="A14" s="167" t="s">
        <v>339</v>
      </c>
      <c r="B14" s="168"/>
      <c r="C14" s="168"/>
      <c r="D14" s="168"/>
      <c r="E14" s="168"/>
      <c r="F14" s="169"/>
      <c r="G14" s="169"/>
      <c r="H14" s="170">
        <f>((B8*E8)+(B9*E9)+(B10*E10))+((C8*E8)+(C9*E9)+(C10*E10))+((D8*E8)+(D9*E9)+(D10*E10))</f>
        <v>0</v>
      </c>
      <c r="I14" s="156"/>
      <c r="J14" s="156"/>
    </row>
    <row r="15" spans="1:10" ht="39" customHeight="1">
      <c r="A15" s="171" t="s">
        <v>340</v>
      </c>
      <c r="B15" s="172" t="s">
        <v>328</v>
      </c>
      <c r="C15" s="172" t="s">
        <v>329</v>
      </c>
      <c r="D15" s="172" t="s">
        <v>330</v>
      </c>
      <c r="E15" s="172" t="s">
        <v>331</v>
      </c>
      <c r="F15" s="172" t="s">
        <v>332</v>
      </c>
      <c r="G15" s="172" t="s">
        <v>333</v>
      </c>
      <c r="H15" s="172" t="s">
        <v>334</v>
      </c>
      <c r="I15"/>
      <c r="J15"/>
    </row>
    <row r="16" spans="1:10">
      <c r="A16" s="2" t="s">
        <v>341</v>
      </c>
      <c r="B16" s="159">
        <f>NonAOIStudCntELL</f>
        <v>0</v>
      </c>
      <c r="C16" s="159">
        <f>AOIFTStudCntELL</f>
        <v>0</v>
      </c>
      <c r="D16" s="159">
        <f>AOIPTStudCntELL</f>
        <v>0</v>
      </c>
      <c r="E16" s="159">
        <v>0.115</v>
      </c>
      <c r="F16" s="159">
        <f>E16*NonAOIStudCntELL</f>
        <v>0</v>
      </c>
      <c r="G16" s="159">
        <f>E16*AOIFTStudCntELL</f>
        <v>0</v>
      </c>
      <c r="H16" s="159">
        <f>E16*AOIPTStudCntELL</f>
        <v>0</v>
      </c>
      <c r="I16"/>
      <c r="J16"/>
    </row>
    <row r="17" spans="1:10">
      <c r="A17" s="2" t="s">
        <v>267</v>
      </c>
      <c r="B17" s="159">
        <f>NonAOIStudCntK3</f>
        <v>0</v>
      </c>
      <c r="C17" s="159">
        <f>AOIFTStudCntK3</f>
        <v>0</v>
      </c>
      <c r="D17" s="159">
        <f>AOIPTStudCntK3</f>
        <v>0</v>
      </c>
      <c r="E17" s="159">
        <v>0.06</v>
      </c>
      <c r="F17" s="159">
        <f>E17*NonAOIStudCntK3</f>
        <v>0</v>
      </c>
      <c r="G17" s="159">
        <f>E17*AOIFTStudCntK3</f>
        <v>0</v>
      </c>
      <c r="H17" s="159">
        <f>E17*AOIPTStudCntK3</f>
        <v>0</v>
      </c>
      <c r="I17"/>
      <c r="J17"/>
    </row>
    <row r="18" spans="1:10" ht="12.75" customHeight="1">
      <c r="A18" s="2" t="s">
        <v>342</v>
      </c>
      <c r="B18" s="159">
        <f>NonAOIStudCntK3Read</f>
        <v>0</v>
      </c>
      <c r="C18" s="159">
        <f>AOIFTStudCntK3Read</f>
        <v>0</v>
      </c>
      <c r="D18" s="159">
        <f>AOIPTStudCntK3Read</f>
        <v>0</v>
      </c>
      <c r="E18" s="159">
        <v>0.04</v>
      </c>
      <c r="F18" s="159">
        <f>E18*NonAOIStudCntK3Read</f>
        <v>0</v>
      </c>
      <c r="G18" s="159">
        <f>E18*AOIFTStudCntK3Read</f>
        <v>0</v>
      </c>
      <c r="H18" s="159">
        <f>E18*AOIPTStudCntK3Read</f>
        <v>0</v>
      </c>
      <c r="I18"/>
      <c r="J18"/>
    </row>
    <row r="19" spans="1:10" ht="11.25" customHeight="1">
      <c r="A19" s="2" t="s">
        <v>343</v>
      </c>
      <c r="B19" s="159">
        <f>NonAOIStudCntHI</f>
        <v>0</v>
      </c>
      <c r="C19" s="159">
        <f>AOIFTStudCntHI</f>
        <v>0</v>
      </c>
      <c r="D19" s="159">
        <f>AOIPTStudCntHI</f>
        <v>0</v>
      </c>
      <c r="E19" s="159">
        <v>4.7709999999999999</v>
      </c>
      <c r="F19" s="159">
        <f>E19*NonAOIStudCntHI</f>
        <v>0</v>
      </c>
      <c r="G19" s="159">
        <f>E19*AOIFTStudCntHI</f>
        <v>0</v>
      </c>
      <c r="H19" s="159">
        <f>E19*AOIPTStudCntHI</f>
        <v>0</v>
      </c>
      <c r="I19"/>
      <c r="J19"/>
    </row>
    <row r="20" spans="1:10">
      <c r="A20" s="173" t="s">
        <v>344</v>
      </c>
      <c r="B20" s="159">
        <f>NonAOIStudCntMDR.AR.SIDR</f>
        <v>0</v>
      </c>
      <c r="C20" s="159">
        <f>AOIFTStudCntMDR.AR.SIDR</f>
        <v>0</v>
      </c>
      <c r="D20" s="159">
        <f>AOIPTStudCntMDR.AR.SIDR</f>
        <v>0</v>
      </c>
      <c r="E20" s="159">
        <v>6.024</v>
      </c>
      <c r="F20" s="159">
        <f>E20*NonAOIStudCntMDR.AR.SIDR</f>
        <v>0</v>
      </c>
      <c r="G20" s="159">
        <f>E20*AOIFTStudCntMDR.AR.SIDR</f>
        <v>0</v>
      </c>
      <c r="H20" s="159">
        <f>E20*AOIPTStudCntMDR.AR.SIDR</f>
        <v>0</v>
      </c>
      <c r="I20"/>
      <c r="J20"/>
    </row>
    <row r="21" spans="1:10" ht="12.75" customHeight="1">
      <c r="A21" s="173" t="s">
        <v>345</v>
      </c>
      <c r="B21" s="159">
        <f>NonAOIStudCntMDSC.ASC.SIDSC</f>
        <v>0</v>
      </c>
      <c r="C21" s="159">
        <f>AOIFTStudCntMDSC.ASC.SIDSC</f>
        <v>0</v>
      </c>
      <c r="D21" s="159">
        <f>AOIPTStudCntMDSC.ASC.SIDSC</f>
        <v>0</v>
      </c>
      <c r="E21" s="159">
        <v>5.9880000000000004</v>
      </c>
      <c r="F21" s="159">
        <f>E21*NonAOIStudCntMDSC.ASC.SIDSC</f>
        <v>0</v>
      </c>
      <c r="G21" s="159">
        <f>E21*AOIFTStudCntMDSC.ASC.SIDSC</f>
        <v>0</v>
      </c>
      <c r="H21" s="159">
        <f>E21*AOIPTStudCntMDSC.ASC.SIDSC</f>
        <v>0</v>
      </c>
      <c r="I21"/>
      <c r="J21"/>
    </row>
    <row r="22" spans="1:10">
      <c r="A22" s="173" t="s">
        <v>346</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347</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348</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349</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350</v>
      </c>
      <c r="B26" s="159">
        <f>NonAOIStudCntDD.ED.MIID.SLD.SLI.OHI</f>
        <v>0</v>
      </c>
      <c r="C26" s="159">
        <f>AOIFTStudCntDD.ED.MIID.SLD.SLI.OHI</f>
        <v>0</v>
      </c>
      <c r="D26" s="159">
        <f>AOIPTStudCntDD.ED.MIID.SLD.SLI.OHI</f>
        <v>0</v>
      </c>
      <c r="E26" s="159">
        <v>0.29199999999999998</v>
      </c>
      <c r="F26" s="159">
        <f>E26*NonAOIStudCntDD.ED.MIID.SLD.SLI.OHI</f>
        <v>0</v>
      </c>
      <c r="G26" s="159">
        <f>E26*AOIFTStudCntDD.ED.MIID.SLD.SLI.OHI</f>
        <v>0</v>
      </c>
      <c r="H26" s="159">
        <f>E26*AOIPTStudCntDD.ED.MIID.SLD.SLI.OHI</f>
        <v>0</v>
      </c>
      <c r="I26"/>
      <c r="J26"/>
    </row>
    <row r="27" spans="1:10">
      <c r="A27" s="173" t="s">
        <v>351</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352</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353</v>
      </c>
      <c r="B29" s="159">
        <f>NonAOIStudCntVI</f>
        <v>0</v>
      </c>
      <c r="C29" s="159">
        <f>AOIFTStudCntVI</f>
        <v>0</v>
      </c>
      <c r="D29" s="159">
        <f>AOIPTStudCntVI</f>
        <v>0</v>
      </c>
      <c r="E29" s="159">
        <v>4.806</v>
      </c>
      <c r="F29" s="159">
        <f>E29*NonAOIStudCntVI</f>
        <v>0</v>
      </c>
      <c r="G29" s="159">
        <f>E29*AOIFTStudCntVI</f>
        <v>0</v>
      </c>
      <c r="H29" s="159">
        <f>E29*AOIPTStudCntVI</f>
        <v>0</v>
      </c>
      <c r="I29"/>
      <c r="J29"/>
    </row>
    <row r="30" spans="1:10">
      <c r="A30" s="124" t="s">
        <v>355</v>
      </c>
      <c r="B30" s="159">
        <f>NonAOIStudCntFRPL</f>
        <v>0</v>
      </c>
      <c r="C30" s="159">
        <f>AOIFTStudCntFRPL</f>
        <v>0</v>
      </c>
      <c r="D30" s="159">
        <f>AOIPTStudCntFRPL</f>
        <v>0</v>
      </c>
      <c r="E30" s="387">
        <v>2.1999999999999999E-2</v>
      </c>
      <c r="F30" s="159">
        <f>E30*NonAOIStudCntFRPL</f>
        <v>0</v>
      </c>
      <c r="G30" s="159">
        <f>E30*AOIFTStudCntFRPL</f>
        <v>0</v>
      </c>
      <c r="H30" s="159">
        <f>E30*AOIPTStudCntFRPL</f>
        <v>0</v>
      </c>
      <c r="I30"/>
      <c r="J30"/>
    </row>
    <row r="31" spans="1:10">
      <c r="A31" s="173" t="s">
        <v>354</v>
      </c>
      <c r="B31" s="159">
        <f>NonAOIStudCntG</f>
        <v>0</v>
      </c>
      <c r="C31" s="159">
        <f>AOIFTStudCntG</f>
        <v>0</v>
      </c>
      <c r="D31" s="159">
        <f>AOIPTStudCntG</f>
        <v>0</v>
      </c>
      <c r="E31" s="159">
        <v>7.0000000000000001E-3</v>
      </c>
      <c r="F31" s="159">
        <f>E31*NonAOIStudCntG</f>
        <v>0</v>
      </c>
      <c r="G31" s="159">
        <f>E31*AOIFTStudCntG</f>
        <v>0</v>
      </c>
      <c r="H31" s="159">
        <f>E31*AOIPTStudCntG</f>
        <v>0</v>
      </c>
      <c r="I31"/>
      <c r="J31"/>
    </row>
    <row r="32" spans="1:10">
      <c r="A32" s="174" t="s">
        <v>356</v>
      </c>
      <c r="B32" s="175">
        <f>SUM(B16:B31)</f>
        <v>0</v>
      </c>
      <c r="C32" s="162">
        <f>SUM(C16:C31)</f>
        <v>0</v>
      </c>
      <c r="D32" s="162">
        <f>SUM(D16:D31)</f>
        <v>0</v>
      </c>
      <c r="E32" s="162"/>
      <c r="F32" s="162"/>
      <c r="G32" s="162"/>
      <c r="H32" s="162"/>
      <c r="I32"/>
      <c r="J32"/>
    </row>
    <row r="33" spans="1:10">
      <c r="A33" s="176" t="s">
        <v>357</v>
      </c>
      <c r="B33" s="175"/>
      <c r="C33" s="162"/>
      <c r="D33" s="162">
        <f>SUM(B32:D32)</f>
        <v>0</v>
      </c>
      <c r="E33" s="162"/>
      <c r="F33" s="162"/>
      <c r="G33" s="162"/>
      <c r="H33" s="162"/>
      <c r="I33"/>
      <c r="J33"/>
    </row>
    <row r="34" spans="1:10" ht="12.75" customHeight="1">
      <c r="A34" s="176" t="s">
        <v>358</v>
      </c>
      <c r="B34" s="175"/>
      <c r="C34" s="162"/>
      <c r="D34" s="162"/>
      <c r="E34" s="162"/>
      <c r="F34" s="162">
        <f>((B16*E16)+(B17*E17)+(B18*E18)+(B19*E19)+(B20*E20)+(B21*E21)+(B22*E22)+(B23*E23)+(B24*E24)+(B25*E25)+(B26*E26)+(B27*E27)+(B28*E28)+(B29*E29)+(B30*E30)+(B31*E31))</f>
        <v>0</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c r="A35" s="176" t="s">
        <v>359</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0</v>
      </c>
      <c r="I35" s="178"/>
    </row>
    <row r="36" spans="1:10">
      <c r="A36" s="485" t="str">
        <f>A3</f>
        <v>George Gervin Youth Center, INC</v>
      </c>
      <c r="B36" s="485"/>
      <c r="C36" s="485"/>
      <c r="D36" s="485"/>
      <c r="E36" s="485"/>
      <c r="F36" s="485"/>
      <c r="G36" s="485"/>
      <c r="H36" s="485"/>
      <c r="I36" s="485"/>
      <c r="J36" s="485"/>
    </row>
    <row r="37" spans="1:10">
      <c r="A37" s="485" t="s">
        <v>325</v>
      </c>
      <c r="B37" s="485"/>
      <c r="C37" s="485"/>
      <c r="D37" s="485"/>
      <c r="E37" s="485"/>
      <c r="F37" s="485"/>
      <c r="G37" s="485"/>
      <c r="H37" s="485"/>
      <c r="I37" s="485"/>
      <c r="J37" s="485"/>
    </row>
    <row r="38" spans="1:10">
      <c r="A38" s="485" t="s">
        <v>462</v>
      </c>
      <c r="B38" s="485"/>
      <c r="C38" s="485"/>
      <c r="D38" s="485"/>
      <c r="E38" s="485"/>
      <c r="F38" s="485"/>
      <c r="G38" s="485"/>
      <c r="H38" s="485"/>
      <c r="I38" s="485"/>
      <c r="J38" s="485"/>
    </row>
    <row r="39" spans="1:10" s="122" customFormat="1" ht="13.5" thickBot="1">
      <c r="A39" s="156"/>
      <c r="B39" s="156"/>
      <c r="C39" s="156"/>
      <c r="D39" s="156"/>
      <c r="E39" s="156"/>
      <c r="F39" s="156"/>
      <c r="G39" s="156"/>
      <c r="H39" s="156"/>
      <c r="I39" s="156"/>
      <c r="J39" s="157" t="s">
        <v>360</v>
      </c>
    </row>
    <row r="40" spans="1:10">
      <c r="A40"/>
      <c r="B40"/>
      <c r="C40"/>
      <c r="D40"/>
      <c r="E40"/>
      <c r="F40"/>
      <c r="G40"/>
      <c r="H40"/>
      <c r="I40"/>
      <c r="J40"/>
    </row>
    <row r="41" spans="1:10">
      <c r="A41" s="176" t="s">
        <v>361</v>
      </c>
      <c r="B41"/>
      <c r="C41"/>
      <c r="D41"/>
      <c r="E41"/>
      <c r="F41"/>
      <c r="G41"/>
      <c r="H41"/>
      <c r="I41"/>
      <c r="J41"/>
    </row>
    <row r="42" spans="1:10" ht="38.25">
      <c r="A42" s="179"/>
      <c r="B42"/>
      <c r="C42" s="158" t="s">
        <v>362</v>
      </c>
      <c r="D42"/>
      <c r="E42" s="158" t="s">
        <v>363</v>
      </c>
      <c r="F42"/>
      <c r="G42" s="158" t="s">
        <v>364</v>
      </c>
      <c r="H42"/>
      <c r="I42"/>
      <c r="J42"/>
    </row>
    <row r="43" spans="1:10" ht="13.5" customHeight="1">
      <c r="A43" s="112" t="s">
        <v>338</v>
      </c>
      <c r="B43"/>
      <c r="C43" s="180">
        <f>((B8*E8)+(B9*E9)+(B10*E10))</f>
        <v>0</v>
      </c>
      <c r="D43"/>
      <c r="E43" s="180">
        <f>((C8*E8)+(C9*E9)+(C10*E10))</f>
        <v>0</v>
      </c>
      <c r="F43" s="163"/>
      <c r="G43" s="180">
        <f>((D8*E8)+(D9*E9)+(D10*E10))</f>
        <v>0</v>
      </c>
      <c r="H43" s="163"/>
      <c r="I43"/>
      <c r="J43"/>
    </row>
    <row r="44" spans="1:10">
      <c r="A44" s="112" t="s">
        <v>358</v>
      </c>
      <c r="B44" s="406" t="s">
        <v>256</v>
      </c>
      <c r="C44" s="180">
        <f>((B16*E16)+(B17*E17)+(B18*E18)+(B19*E19)+(B20*E20)+(B21*E21)+(B22*E22)+(B23*E23)+(B24*E24)+(B25*E25)+(B26*E26)+(B27*E27)+(B28*E28)+(B29*E29)+(B30*E30)+(B31*E31))</f>
        <v>0</v>
      </c>
      <c r="D44" s="406" t="s">
        <v>256</v>
      </c>
      <c r="E44" s="180">
        <f>((C16*E16)+(C17*E17)+(C18*E18)+(C19*E19)+(C20*E20)+(C21*E21)+(C22*E22)+(C23*E23)+(C24*E24)+(C25*E25)+(C26*E26)+(C27*E27)+(C28*E28)+(C29*E29)+(C30*E30)+(C31*E31))</f>
        <v>0</v>
      </c>
      <c r="F44" s="181" t="s">
        <v>256</v>
      </c>
      <c r="G44" s="180">
        <f>((D16*E16)+(D17*E17)+(D18*E18)+(D19*E19)+(D20*E20)+(D21*E21)+(D22*E22)+(D23*E23)+(D24*E24)+(D25*E25)+(D26*E26)+(D27*E27)+(D28*E28)+(D29*E29)+(D30*E30)+(D31*E31))</f>
        <v>0</v>
      </c>
      <c r="H44" s="163"/>
      <c r="I44"/>
      <c r="J44"/>
    </row>
    <row r="45" spans="1:10">
      <c r="A45" s="112" t="s">
        <v>365</v>
      </c>
      <c r="B45" s="406" t="s">
        <v>259</v>
      </c>
      <c r="C45" s="180">
        <f>((B8*E8)+(B9*E9)+(B10*E10))+((B16*E16)+(B17*E17)+(B18*E18)+(B19*E19)+(B20*E20)+(B21*E21)+(B22*E22)+(B23*E23)+(B24*E24)+(B25*E25)+(B26*E26)+(B27*E27)+(B28*E28)+(B29*E29)+(B30*E30)+(B31*E31))</f>
        <v>0</v>
      </c>
      <c r="D45" s="406" t="s">
        <v>259</v>
      </c>
      <c r="E45" s="180">
        <f>((C8*E8)+(C9*E9)+(C10*E10))+((C16*E16)+(C17*E17)+(C18*E18)+(C19*E19)+(C20*E20)+(C21*E21)+(C22*E22)+(C23*E23)+(C24*E24)+(C25*E25)+(C26*E26)+(C27*E27)+(C28*E28)+(C29*E29)+(C30*E30)+(C31*E31))</f>
        <v>0</v>
      </c>
      <c r="F45" s="181" t="s">
        <v>259</v>
      </c>
      <c r="G45" s="180">
        <f>((D8*E8)+(D9*E9)+(D10*E10))+((D16*E16)+(D17*E17)+(D18*E18)+(D19*E19)+(D20*E20)+(D21*E21)+(D22*E22)+(D23*E23)+(D24*E24)+(D25*E25)+(D26*E26)+(D27*E27)+(D28*E28)+(D29*E29)+(D30*E30)+(D31*E31))</f>
        <v>0</v>
      </c>
      <c r="H45" s="163"/>
      <c r="I45"/>
      <c r="J45"/>
    </row>
    <row r="46" spans="1:10">
      <c r="A46" s="112" t="s">
        <v>366</v>
      </c>
      <c r="B46" s="406" t="s">
        <v>239</v>
      </c>
      <c r="C46" s="180">
        <v>1</v>
      </c>
      <c r="D46" s="406" t="s">
        <v>239</v>
      </c>
      <c r="E46" s="180">
        <v>0.95</v>
      </c>
      <c r="F46" s="181" t="s">
        <v>239</v>
      </c>
      <c r="G46" s="180">
        <v>0.85</v>
      </c>
      <c r="H46" s="163"/>
      <c r="I46"/>
      <c r="J46"/>
    </row>
    <row r="47" spans="1:10">
      <c r="A47" s="112" t="s">
        <v>367</v>
      </c>
      <c r="B47" s="406" t="s">
        <v>259</v>
      </c>
      <c r="C47" s="180">
        <f>(((B8*E8)+(B9*E9)+(B10*E10))+((B16*E16)+(B17*E17)+(B18*E18)+(B19*E19)+(B20*E20)+(B21*E21)+(B22*E22)+(B23*E23)+(B24*E24)+(B25*E25)+(B26*E26)+(B27*E27)+(B28*E28)+(B29*E29)+(B30*E30)+(B31*E31))*C46)</f>
        <v>0</v>
      </c>
      <c r="D47" s="406" t="s">
        <v>259</v>
      </c>
      <c r="E47" s="180">
        <f>(((C8*E8)+(C9*E9)+(C10*E10))+((C16*E16)+(C17*E17)+(C18*E18)+(C19*E19)+(C20*E20)+(C21*E21)+(C22*E22)+(C23*E23)+(C24*E24)+(C25*E25)+(C26*E26)+(C27*E27)+(C28*E28)+(C29*E29)+(C30*E30)+(C31*E31)))*E46</f>
        <v>0</v>
      </c>
      <c r="F47" s="181" t="s">
        <v>259</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c r="A49" s="182" t="s">
        <v>368</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0</v>
      </c>
      <c r="I49"/>
      <c r="J49"/>
    </row>
    <row r="50" spans="1:10">
      <c r="A50" s="442" t="s">
        <v>459</v>
      </c>
      <c r="B50" s="443"/>
      <c r="C50" s="444"/>
      <c r="D50" s="443"/>
      <c r="E50" s="443"/>
      <c r="F50" s="443"/>
      <c r="G50" s="443"/>
      <c r="H50" s="454">
        <f>IF('Data Entry'!C85="X",5215.53*1.05,5215.53)</f>
        <v>5215.53</v>
      </c>
      <c r="I50"/>
      <c r="J50"/>
    </row>
    <row r="51" spans="1:10">
      <c r="A51" s="176" t="s">
        <v>369</v>
      </c>
      <c r="B51"/>
      <c r="C51" s="180">
        <f>H49</f>
        <v>0</v>
      </c>
      <c r="D51" s="406" t="s">
        <v>239</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0</v>
      </c>
      <c r="I51"/>
      <c r="J51"/>
    </row>
    <row r="52" spans="1:10">
      <c r="A52" s="176"/>
      <c r="B52"/>
      <c r="C52" s="80"/>
      <c r="D52" s="406"/>
      <c r="E52" s="104"/>
      <c r="F52"/>
      <c r="G52"/>
      <c r="H52" s="187"/>
      <c r="I52"/>
      <c r="J52"/>
    </row>
    <row r="53" spans="1:10">
      <c r="A53" s="145" t="s">
        <v>370</v>
      </c>
      <c r="B53"/>
      <c r="C53"/>
      <c r="D53"/>
      <c r="E53"/>
      <c r="F53"/>
      <c r="G53"/>
      <c r="H53" s="94"/>
      <c r="I53"/>
      <c r="J53"/>
    </row>
    <row r="54" spans="1:10">
      <c r="A54" s="145" t="s">
        <v>371</v>
      </c>
      <c r="B54"/>
      <c r="C54"/>
      <c r="D54"/>
      <c r="E54"/>
      <c r="F54"/>
      <c r="G54"/>
      <c r="H54" s="186">
        <f>ROUND(NonFedAuditExp,0)</f>
        <v>25000</v>
      </c>
      <c r="I54"/>
      <c r="J54"/>
    </row>
    <row r="55" spans="1:10">
      <c r="A55" s="145" t="s">
        <v>372</v>
      </c>
      <c r="B55"/>
      <c r="C55"/>
      <c r="D55"/>
      <c r="E55"/>
      <c r="F55"/>
      <c r="G55"/>
      <c r="H55" s="186">
        <f>ROUND(RemoteTimeAdjustment,0)</f>
        <v>0</v>
      </c>
      <c r="I55"/>
      <c r="J55"/>
    </row>
    <row r="56" spans="1:10">
      <c r="A56" s="145"/>
      <c r="B56"/>
      <c r="C56"/>
      <c r="D56"/>
      <c r="E56"/>
      <c r="F56"/>
      <c r="G56"/>
      <c r="H56" s="186"/>
      <c r="I56"/>
      <c r="J56"/>
    </row>
    <row r="57" spans="1:10" hidden="1">
      <c r="A57" s="145"/>
      <c r="B57"/>
      <c r="C57"/>
      <c r="D57"/>
      <c r="E57"/>
      <c r="F57"/>
      <c r="G57"/>
      <c r="H57" s="186"/>
      <c r="I57"/>
      <c r="J57"/>
    </row>
    <row r="58" spans="1:10" hidden="1">
      <c r="A58" s="145"/>
      <c r="B58"/>
      <c r="C58"/>
      <c r="D58"/>
      <c r="E58"/>
      <c r="F58"/>
      <c r="G58"/>
      <c r="H58" s="186"/>
    </row>
    <row r="59" spans="1:10">
      <c r="A59" s="146" t="s">
        <v>373</v>
      </c>
      <c r="B59"/>
      <c r="C59" s="185">
        <f>H51</f>
        <v>0</v>
      </c>
      <c r="D59" s="406" t="s">
        <v>256</v>
      </c>
      <c r="E59" s="185">
        <f>SUM(H54:H55)</f>
        <v>25000</v>
      </c>
      <c r="F59"/>
      <c r="G59"/>
      <c r="H59" s="186">
        <f>C59+E59</f>
        <v>25000</v>
      </c>
      <c r="I59"/>
      <c r="J59"/>
    </row>
    <row r="60" spans="1:10">
      <c r="A60"/>
      <c r="B60"/>
      <c r="C60"/>
      <c r="D60"/>
      <c r="E60"/>
      <c r="F60"/>
      <c r="G60"/>
      <c r="H60"/>
      <c r="I60"/>
      <c r="J60"/>
    </row>
    <row r="61" spans="1:10" ht="11.25" customHeight="1">
      <c r="A61" s="485" t="str">
        <f>A3</f>
        <v>George Gervin Youth Center, INC</v>
      </c>
      <c r="B61" s="485"/>
      <c r="C61" s="485"/>
      <c r="D61" s="485"/>
      <c r="E61" s="485"/>
      <c r="F61" s="485"/>
      <c r="G61" s="485"/>
      <c r="H61" s="485"/>
      <c r="I61" s="485"/>
      <c r="J61" s="485"/>
    </row>
    <row r="62" spans="1:10" ht="12" customHeight="1">
      <c r="A62" s="485" t="s">
        <v>325</v>
      </c>
      <c r="B62" s="485"/>
      <c r="C62" s="485"/>
      <c r="D62" s="485"/>
      <c r="E62" s="485"/>
      <c r="F62" s="485"/>
      <c r="G62" s="485"/>
      <c r="H62" s="485"/>
      <c r="I62" s="485"/>
      <c r="J62" s="485"/>
    </row>
    <row r="63" spans="1:10">
      <c r="A63" s="485" t="s">
        <v>462</v>
      </c>
      <c r="B63" s="485"/>
      <c r="C63" s="485"/>
      <c r="D63" s="485"/>
      <c r="E63" s="485"/>
      <c r="F63" s="485"/>
      <c r="G63" s="485"/>
      <c r="H63" s="485"/>
      <c r="I63" s="485"/>
      <c r="J63" s="485"/>
    </row>
    <row r="64" spans="1:10" s="122" customFormat="1" ht="13.5" thickBot="1">
      <c r="A64" s="156"/>
      <c r="B64" s="156"/>
      <c r="C64" s="156"/>
      <c r="D64" s="156"/>
      <c r="E64" s="156"/>
      <c r="F64" s="156"/>
      <c r="G64" s="156"/>
      <c r="H64" s="156"/>
      <c r="I64" s="156"/>
      <c r="J64" s="157" t="s">
        <v>374</v>
      </c>
    </row>
    <row r="65" spans="1:10">
      <c r="A65"/>
      <c r="B65"/>
      <c r="C65"/>
      <c r="D65"/>
      <c r="E65"/>
      <c r="F65"/>
      <c r="G65"/>
      <c r="H65"/>
      <c r="I65"/>
      <c r="J65"/>
    </row>
    <row r="66" spans="1:10" ht="13.5" thickBot="1">
      <c r="A66" s="157" t="s">
        <v>375</v>
      </c>
      <c r="B66"/>
      <c r="C66" s="188" t="s">
        <v>251</v>
      </c>
      <c r="D66" s="156"/>
      <c r="E66" s="188" t="s">
        <v>252</v>
      </c>
      <c r="F66" s="156"/>
      <c r="G66" s="188" t="s">
        <v>253</v>
      </c>
      <c r="H66"/>
      <c r="I66"/>
      <c r="J66"/>
    </row>
    <row r="67" spans="1:10">
      <c r="A67" s="138" t="s">
        <v>376</v>
      </c>
      <c r="B67"/>
      <c r="C67" s="189">
        <f>SUM(B8:D8)</f>
        <v>0</v>
      </c>
      <c r="D67" s="163"/>
      <c r="E67" s="189">
        <f>SUM(B9:D9)</f>
        <v>0</v>
      </c>
      <c r="F67" s="163"/>
      <c r="G67" s="189">
        <f>SUM(B10:D10)</f>
        <v>0</v>
      </c>
      <c r="H67"/>
      <c r="I67"/>
      <c r="J67"/>
    </row>
    <row r="68" spans="1:10" ht="13.5" thickBot="1">
      <c r="A68" s="442" t="s">
        <v>377</v>
      </c>
      <c r="B68" s="457" t="s">
        <v>239</v>
      </c>
      <c r="C68" s="458">
        <v>2174.54</v>
      </c>
      <c r="D68" s="459" t="s">
        <v>239</v>
      </c>
      <c r="E68" s="458">
        <v>2174.54</v>
      </c>
      <c r="F68" s="459" t="s">
        <v>239</v>
      </c>
      <c r="G68" s="458">
        <v>2534.38</v>
      </c>
      <c r="H68"/>
      <c r="I68"/>
      <c r="J68"/>
    </row>
    <row r="69" spans="1:10" ht="12" customHeight="1">
      <c r="A69" s="112" t="s">
        <v>378</v>
      </c>
      <c r="B69" s="406" t="s">
        <v>259</v>
      </c>
      <c r="C69" s="185">
        <f>C67*C68</f>
        <v>0</v>
      </c>
      <c r="D69" s="406" t="s">
        <v>259</v>
      </c>
      <c r="E69" s="185">
        <f>E67*E68</f>
        <v>0</v>
      </c>
      <c r="F69" s="406" t="s">
        <v>259</v>
      </c>
      <c r="G69" s="185">
        <f>G67*G68</f>
        <v>0</v>
      </c>
      <c r="H69"/>
      <c r="I69"/>
      <c r="J69"/>
    </row>
    <row r="70" spans="1:10">
      <c r="A70" s="112" t="s">
        <v>379</v>
      </c>
      <c r="B70"/>
      <c r="C70"/>
      <c r="D70"/>
      <c r="E70"/>
      <c r="F70"/>
      <c r="G70"/>
      <c r="H70" s="186">
        <f>(C67*C68)+(E67*E68)+(G67*G68)</f>
        <v>0</v>
      </c>
      <c r="I70"/>
      <c r="J70"/>
    </row>
    <row r="71" spans="1:10">
      <c r="A71"/>
      <c r="B71"/>
      <c r="C71"/>
      <c r="D71"/>
      <c r="E71"/>
      <c r="F71"/>
      <c r="G71"/>
      <c r="H71" s="183"/>
      <c r="I71"/>
      <c r="J71"/>
    </row>
    <row r="72" spans="1:10">
      <c r="A72" s="176" t="s">
        <v>380</v>
      </c>
      <c r="B72"/>
      <c r="C72"/>
      <c r="D72"/>
      <c r="E72"/>
      <c r="F72"/>
      <c r="G72"/>
      <c r="H72" s="183"/>
      <c r="I72"/>
      <c r="J72"/>
    </row>
    <row r="73" spans="1:10">
      <c r="A73"/>
      <c r="B73"/>
      <c r="C73"/>
      <c r="D73"/>
      <c r="E73"/>
      <c r="F73"/>
      <c r="G73"/>
      <c r="H73" s="183"/>
      <c r="I73"/>
      <c r="J73"/>
    </row>
    <row r="74" spans="1:10">
      <c r="A74" s="94" t="s">
        <v>381</v>
      </c>
      <c r="B74"/>
      <c r="C74"/>
      <c r="D74"/>
      <c r="E74"/>
      <c r="F74"/>
      <c r="G74"/>
      <c r="H74" s="186">
        <f>C69+E69+G69</f>
        <v>0</v>
      </c>
      <c r="I74"/>
      <c r="J74"/>
    </row>
    <row r="75" spans="1:10">
      <c r="A75"/>
      <c r="B75"/>
      <c r="C75"/>
      <c r="D75"/>
      <c r="E75"/>
      <c r="F75"/>
      <c r="G75"/>
      <c r="H75" s="183"/>
      <c r="I75"/>
      <c r="J75"/>
    </row>
    <row r="76" spans="1:10">
      <c r="A76" s="94" t="s">
        <v>382</v>
      </c>
      <c r="B76"/>
      <c r="C76"/>
      <c r="D76"/>
      <c r="E76"/>
      <c r="F76"/>
      <c r="G76"/>
      <c r="H76" s="183"/>
      <c r="I76"/>
      <c r="J76"/>
    </row>
    <row r="77" spans="1:10">
      <c r="A77" t="s">
        <v>383</v>
      </c>
      <c r="B77"/>
      <c r="C77" s="185">
        <f>H59</f>
        <v>25000</v>
      </c>
      <c r="D77"/>
      <c r="E77"/>
      <c r="F77"/>
      <c r="G77"/>
      <c r="H77" s="183"/>
      <c r="I77"/>
      <c r="J77"/>
    </row>
    <row r="78" spans="1:10">
      <c r="A78" t="s">
        <v>384</v>
      </c>
      <c r="B78" s="406" t="s">
        <v>256</v>
      </c>
      <c r="C78" s="185">
        <f>H74</f>
        <v>0</v>
      </c>
      <c r="D78"/>
      <c r="E78"/>
      <c r="F78"/>
      <c r="G78"/>
      <c r="H78" s="183"/>
      <c r="I78"/>
      <c r="J78"/>
    </row>
    <row r="79" spans="1:10">
      <c r="A79"/>
      <c r="B79" s="406" t="s">
        <v>259</v>
      </c>
      <c r="C79" s="185">
        <f>C77+C78</f>
        <v>25000</v>
      </c>
      <c r="D79"/>
      <c r="E79"/>
      <c r="F79"/>
      <c r="G79"/>
      <c r="H79" s="183"/>
      <c r="I79"/>
      <c r="J79"/>
    </row>
    <row r="80" spans="1:10">
      <c r="A80" s="94" t="s">
        <v>385</v>
      </c>
      <c r="B80"/>
      <c r="C80"/>
      <c r="D80"/>
      <c r="E80"/>
      <c r="F80"/>
      <c r="G80"/>
      <c r="H80" s="186">
        <f>C79</f>
        <v>25000</v>
      </c>
      <c r="I80"/>
      <c r="J80"/>
    </row>
    <row r="81" spans="1:10">
      <c r="A81"/>
      <c r="B81"/>
      <c r="C81"/>
      <c r="D81"/>
      <c r="E81"/>
      <c r="F81"/>
      <c r="G81"/>
      <c r="H81" s="183"/>
      <c r="I81"/>
      <c r="J81"/>
    </row>
    <row r="82" spans="1:10">
      <c r="A82"/>
      <c r="B82"/>
      <c r="C82"/>
      <c r="D82"/>
      <c r="E82"/>
      <c r="F82"/>
      <c r="G82"/>
      <c r="H82" s="183"/>
      <c r="I82"/>
      <c r="J82"/>
    </row>
    <row r="83" spans="1:10">
      <c r="A83"/>
      <c r="B83"/>
      <c r="C83"/>
      <c r="D83"/>
      <c r="E83"/>
      <c r="F83"/>
      <c r="G83"/>
      <c r="H83" s="186">
        <f>H80</f>
        <v>25000</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formatCells="0" formatColumns="0" formatRows="0"/>
  <mergeCells count="12">
    <mergeCell ref="B1:C1"/>
    <mergeCell ref="E1:G1"/>
    <mergeCell ref="I1:J1"/>
    <mergeCell ref="A3:J3"/>
    <mergeCell ref="A4:J4"/>
    <mergeCell ref="A5:J5"/>
    <mergeCell ref="A63:J63"/>
    <mergeCell ref="A36:J36"/>
    <mergeCell ref="A37:J37"/>
    <mergeCell ref="A38:J38"/>
    <mergeCell ref="A61:J61"/>
    <mergeCell ref="A62:J62"/>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3"/>
  <sheetViews>
    <sheetView showGridLines="0" topLeftCell="A34" zoomScaleNormal="100" workbookViewId="0">
      <selection activeCell="C26" sqref="C26"/>
    </sheetView>
  </sheetViews>
  <sheetFormatPr defaultColWidth="9.28515625" defaultRowHeight="12.75"/>
  <cols>
    <col min="1" max="1" width="13.28515625" style="123" customWidth="1"/>
    <col min="2" max="2" width="23.28515625" style="124" customWidth="1"/>
    <col min="3" max="3" width="88.5703125" style="145" customWidth="1"/>
    <col min="4" max="4" width="34.85546875" style="138" customWidth="1"/>
  </cols>
  <sheetData>
    <row r="1" spans="1:6" ht="51.75" customHeight="1">
      <c r="A1" s="150" t="s">
        <v>386</v>
      </c>
      <c r="B1" s="150" t="s">
        <v>387</v>
      </c>
      <c r="C1" s="151" t="s">
        <v>388</v>
      </c>
      <c r="D1" s="150" t="s">
        <v>389</v>
      </c>
    </row>
    <row r="2" spans="1:6" ht="234.75" customHeight="1">
      <c r="A2" s="152" t="s">
        <v>390</v>
      </c>
      <c r="B2" s="124" t="s">
        <v>391</v>
      </c>
      <c r="C2" s="451" t="s">
        <v>496</v>
      </c>
      <c r="D2" s="112"/>
      <c r="F2" s="145"/>
    </row>
    <row r="3" spans="1:6" ht="44.25" customHeight="1">
      <c r="A3" s="152" t="s">
        <v>390</v>
      </c>
      <c r="B3" s="124" t="s">
        <v>2</v>
      </c>
      <c r="C3" s="112" t="s">
        <v>392</v>
      </c>
    </row>
    <row r="4" spans="1:6" ht="76.5" customHeight="1">
      <c r="A4" s="152" t="s">
        <v>390</v>
      </c>
      <c r="B4" s="124" t="s">
        <v>18</v>
      </c>
      <c r="C4" s="112" t="s">
        <v>393</v>
      </c>
    </row>
    <row r="5" spans="1:6" ht="102" customHeight="1">
      <c r="A5" s="409" t="s">
        <v>390</v>
      </c>
      <c r="B5" s="124" t="s">
        <v>438</v>
      </c>
      <c r="C5" s="410" t="s">
        <v>458</v>
      </c>
    </row>
    <row r="6" spans="1:6" ht="37.5" customHeight="1">
      <c r="A6" s="152" t="s">
        <v>390</v>
      </c>
      <c r="B6" s="124" t="s">
        <v>394</v>
      </c>
      <c r="C6" s="451" t="s">
        <v>471</v>
      </c>
    </row>
    <row r="7" spans="1:6" ht="112.5" customHeight="1">
      <c r="A7" s="152" t="s">
        <v>390</v>
      </c>
      <c r="B7" s="124" t="s">
        <v>234</v>
      </c>
      <c r="C7" s="112" t="s">
        <v>395</v>
      </c>
    </row>
    <row r="8" spans="1:6" ht="177" customHeight="1">
      <c r="A8" s="409">
        <v>1</v>
      </c>
      <c r="B8" s="124" t="s">
        <v>391</v>
      </c>
      <c r="C8" s="138" t="s">
        <v>497</v>
      </c>
      <c r="D8" s="438"/>
    </row>
    <row r="9" spans="1:6" ht="87.75" customHeight="1">
      <c r="A9" s="152">
        <v>1</v>
      </c>
      <c r="B9" s="124" t="s">
        <v>396</v>
      </c>
      <c r="C9" s="112" t="s">
        <v>397</v>
      </c>
    </row>
    <row r="10" spans="1:6" ht="17.25" customHeight="1">
      <c r="A10" s="152"/>
      <c r="C10" s="153" t="s">
        <v>398</v>
      </c>
    </row>
    <row r="11" spans="1:6" ht="49.5" customHeight="1">
      <c r="A11" s="409">
        <v>1</v>
      </c>
      <c r="B11" s="124" t="s">
        <v>399</v>
      </c>
      <c r="C11" s="410" t="s">
        <v>400</v>
      </c>
    </row>
    <row r="12" spans="1:6" ht="47.25" customHeight="1">
      <c r="A12" s="388">
        <v>1</v>
      </c>
      <c r="B12" s="439" t="s">
        <v>401</v>
      </c>
      <c r="C12" s="434" t="s">
        <v>498</v>
      </c>
      <c r="D12" s="434" t="s">
        <v>402</v>
      </c>
    </row>
    <row r="13" spans="1:6" ht="81.75" customHeight="1">
      <c r="A13" s="152">
        <v>2</v>
      </c>
      <c r="B13" s="124" t="s">
        <v>99</v>
      </c>
      <c r="C13" s="138" t="s">
        <v>457</v>
      </c>
      <c r="D13" s="154"/>
    </row>
    <row r="14" spans="1:6" ht="133.5" customHeight="1">
      <c r="A14" s="152">
        <v>2</v>
      </c>
      <c r="B14" s="124" t="s">
        <v>403</v>
      </c>
      <c r="C14" s="112" t="s">
        <v>404</v>
      </c>
    </row>
    <row r="15" spans="1:6" ht="127.5" customHeight="1">
      <c r="A15" s="152">
        <v>2</v>
      </c>
      <c r="B15" s="124" t="s">
        <v>405</v>
      </c>
      <c r="C15" s="138" t="s">
        <v>406</v>
      </c>
    </row>
    <row r="16" spans="1:6" ht="52.5" customHeight="1">
      <c r="A16" s="385">
        <v>2</v>
      </c>
      <c r="B16" s="386" t="s">
        <v>163</v>
      </c>
      <c r="C16" s="384" t="s">
        <v>407</v>
      </c>
      <c r="D16" s="389"/>
    </row>
    <row r="17" spans="1:4" ht="96.75" customHeight="1">
      <c r="A17" s="409">
        <v>2</v>
      </c>
      <c r="B17" s="124" t="s">
        <v>169</v>
      </c>
      <c r="C17" s="138" t="s">
        <v>499</v>
      </c>
      <c r="D17" s="438"/>
    </row>
    <row r="18" spans="1:4" ht="45.75" customHeight="1">
      <c r="A18" s="152">
        <v>2</v>
      </c>
      <c r="B18" s="124" t="s">
        <v>100</v>
      </c>
      <c r="C18" s="112" t="s">
        <v>408</v>
      </c>
    </row>
    <row r="19" spans="1:4" ht="32.25" customHeight="1">
      <c r="A19" s="152">
        <v>2</v>
      </c>
      <c r="B19" s="124" t="s">
        <v>409</v>
      </c>
      <c r="C19" s="112" t="s">
        <v>410</v>
      </c>
    </row>
    <row r="20" spans="1:4" ht="54" customHeight="1">
      <c r="A20" s="152">
        <v>2</v>
      </c>
      <c r="B20" s="124" t="s">
        <v>411</v>
      </c>
      <c r="C20" s="138" t="s">
        <v>412</v>
      </c>
      <c r="D20" s="154"/>
    </row>
    <row r="21" spans="1:4" ht="63.75" customHeight="1">
      <c r="A21" s="152">
        <v>2</v>
      </c>
      <c r="B21" s="124" t="s">
        <v>145</v>
      </c>
      <c r="C21" s="112" t="s">
        <v>413</v>
      </c>
    </row>
    <row r="22" spans="1:4" ht="116.25" customHeight="1">
      <c r="A22" s="152">
        <v>2</v>
      </c>
      <c r="B22" s="124" t="s">
        <v>414</v>
      </c>
      <c r="C22" s="451" t="s">
        <v>507</v>
      </c>
    </row>
    <row r="23" spans="1:4" ht="35.25" customHeight="1">
      <c r="A23" s="152">
        <v>2</v>
      </c>
      <c r="B23" s="124" t="s">
        <v>415</v>
      </c>
      <c r="C23" s="112" t="s">
        <v>416</v>
      </c>
    </row>
    <row r="24" spans="1:4" ht="39" customHeight="1">
      <c r="A24" s="152">
        <v>2</v>
      </c>
      <c r="B24" s="124" t="s">
        <v>417</v>
      </c>
      <c r="C24" s="112" t="s">
        <v>418</v>
      </c>
    </row>
    <row r="25" spans="1:4" ht="72.75" customHeight="1">
      <c r="A25" s="409">
        <v>2</v>
      </c>
      <c r="B25" s="124" t="s">
        <v>167</v>
      </c>
      <c r="C25" s="138" t="s">
        <v>508</v>
      </c>
      <c r="D25" s="438"/>
    </row>
    <row r="26" spans="1:4" ht="102">
      <c r="A26" s="388">
        <v>3</v>
      </c>
      <c r="B26" s="439" t="s">
        <v>226</v>
      </c>
      <c r="C26" s="434" t="s">
        <v>513</v>
      </c>
      <c r="D26" s="434" t="s">
        <v>535</v>
      </c>
    </row>
    <row r="27" spans="1:4" ht="102" customHeight="1">
      <c r="A27" s="152">
        <v>3</v>
      </c>
      <c r="B27" s="124" t="s">
        <v>226</v>
      </c>
      <c r="C27" s="138" t="s">
        <v>419</v>
      </c>
    </row>
    <row r="28" spans="1:4" ht="79.5" customHeight="1">
      <c r="A28" s="409">
        <v>3</v>
      </c>
      <c r="B28" s="124" t="s">
        <v>420</v>
      </c>
      <c r="C28" s="138" t="s">
        <v>509</v>
      </c>
      <c r="D28" s="438"/>
    </row>
    <row r="29" spans="1:4" ht="57.75" customHeight="1">
      <c r="A29" s="152">
        <v>4</v>
      </c>
      <c r="B29" s="124" t="s">
        <v>421</v>
      </c>
      <c r="C29" s="138" t="s">
        <v>422</v>
      </c>
    </row>
    <row r="30" spans="1:4" ht="56.25" customHeight="1">
      <c r="A30" s="152">
        <v>4</v>
      </c>
      <c r="B30" s="124" t="s">
        <v>423</v>
      </c>
      <c r="C30" s="138" t="s">
        <v>424</v>
      </c>
    </row>
    <row r="31" spans="1:4" ht="45" customHeight="1">
      <c r="A31" s="408" t="s">
        <v>425</v>
      </c>
      <c r="B31" s="124" t="s">
        <v>391</v>
      </c>
      <c r="C31" s="138" t="s">
        <v>426</v>
      </c>
    </row>
    <row r="32" spans="1:4" ht="45" customHeight="1">
      <c r="A32" s="408" t="s">
        <v>443</v>
      </c>
      <c r="B32" s="124" t="s">
        <v>427</v>
      </c>
      <c r="C32" s="138" t="s">
        <v>500</v>
      </c>
    </row>
    <row r="33" spans="1:4" ht="51" customHeight="1">
      <c r="A33" s="408" t="s">
        <v>443</v>
      </c>
      <c r="B33" s="124" t="s">
        <v>428</v>
      </c>
      <c r="C33" s="434" t="s">
        <v>533</v>
      </c>
      <c r="D33" s="434" t="s">
        <v>536</v>
      </c>
    </row>
    <row r="34" spans="1:4" ht="47.25" customHeight="1">
      <c r="A34" s="408" t="s">
        <v>443</v>
      </c>
      <c r="B34" s="124" t="s">
        <v>429</v>
      </c>
      <c r="C34" s="138" t="s">
        <v>522</v>
      </c>
    </row>
    <row r="35" spans="1:4" ht="47.25" customHeight="1">
      <c r="A35" s="408" t="s">
        <v>443</v>
      </c>
      <c r="B35" s="124" t="s">
        <v>515</v>
      </c>
      <c r="C35" s="138" t="s">
        <v>514</v>
      </c>
    </row>
    <row r="36" spans="1:4" ht="50.25" customHeight="1">
      <c r="A36" s="408" t="s">
        <v>443</v>
      </c>
      <c r="B36" s="124" t="s">
        <v>430</v>
      </c>
      <c r="C36" s="138" t="s">
        <v>501</v>
      </c>
    </row>
    <row r="37" spans="1:4" ht="56.25" customHeight="1">
      <c r="A37" s="408" t="s">
        <v>443</v>
      </c>
      <c r="B37" s="124" t="s">
        <v>431</v>
      </c>
      <c r="C37" s="138" t="s">
        <v>502</v>
      </c>
    </row>
    <row r="38" spans="1:4" ht="61.5" customHeight="1">
      <c r="A38" s="408" t="s">
        <v>443</v>
      </c>
      <c r="B38" s="124" t="s">
        <v>432</v>
      </c>
      <c r="C38" s="138" t="s">
        <v>503</v>
      </c>
    </row>
    <row r="39" spans="1:4" ht="72" customHeight="1">
      <c r="A39" s="408" t="s">
        <v>443</v>
      </c>
      <c r="B39" s="124" t="s">
        <v>433</v>
      </c>
      <c r="C39" s="138" t="s">
        <v>504</v>
      </c>
    </row>
    <row r="40" spans="1:4" ht="61.5" customHeight="1">
      <c r="A40" s="408" t="s">
        <v>443</v>
      </c>
      <c r="B40" s="124" t="s">
        <v>434</v>
      </c>
      <c r="C40" s="138" t="s">
        <v>505</v>
      </c>
    </row>
    <row r="41" spans="1:4" ht="48" customHeight="1">
      <c r="A41" s="408" t="s">
        <v>443</v>
      </c>
      <c r="B41" s="124" t="s">
        <v>435</v>
      </c>
      <c r="C41" s="138" t="s">
        <v>506</v>
      </c>
    </row>
    <row r="42" spans="1:4" ht="38.25">
      <c r="A42" s="408" t="s">
        <v>443</v>
      </c>
      <c r="B42" s="124" t="s">
        <v>436</v>
      </c>
      <c r="C42" s="138" t="s">
        <v>534</v>
      </c>
    </row>
    <row r="43" spans="1:4">
      <c r="A43" s="2"/>
    </row>
  </sheetData>
  <autoFilter ref="D1:D43" xr:uid="{00000000-0001-0000-0B00-000000000000}"/>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2" location="'Project balances'!A1" display="Project balances" xr:uid="{00000000-0004-0000-0B00-00001F000000}"/>
    <hyperlink ref="A35" location="'Project balances'!A1" display="Project balances" xr:uid="{D2A49726-C3F7-440A-A2BE-246EA5A42E04}"/>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R49"/>
  <sheetViews>
    <sheetView showGridLines="0" topLeftCell="A25" zoomScale="115" zoomScaleNormal="115" workbookViewId="0">
      <selection activeCell="G57" sqref="G57"/>
    </sheetView>
  </sheetViews>
  <sheetFormatPr defaultColWidth="9" defaultRowHeight="12.75" customHeight="1"/>
  <cols>
    <col min="1" max="2" width="1.5703125" customWidth="1"/>
    <col min="3" max="3" width="14.5703125" customWidth="1"/>
    <col min="4" max="4" width="41.28515625" customWidth="1"/>
    <col min="5" max="5" width="4" customWidth="1"/>
    <col min="6" max="13" width="12.5703125" customWidth="1"/>
    <col min="14" max="14" width="4" style="3" customWidth="1"/>
    <col min="15" max="15" width="9" customWidth="1"/>
  </cols>
  <sheetData>
    <row r="1" spans="1:14" ht="12" customHeight="1">
      <c r="A1" t="s">
        <v>0</v>
      </c>
      <c r="D1" s="506" t="str">
        <f>CharterName</f>
        <v>George Gervin Youth Center, INC</v>
      </c>
      <c r="E1" s="506"/>
      <c r="F1" s="506"/>
      <c r="H1" s="406" t="s">
        <v>1</v>
      </c>
      <c r="I1" s="507" t="str">
        <f>Cover!M1</f>
        <v>Maricopa</v>
      </c>
      <c r="J1" s="507"/>
      <c r="L1" s="406" t="s">
        <v>2</v>
      </c>
      <c r="M1" s="507" t="str">
        <f>CTD</f>
        <v>078585000</v>
      </c>
      <c r="N1" s="507"/>
    </row>
    <row r="2" spans="1:14" ht="3.75" customHeight="1">
      <c r="A2" s="192"/>
      <c r="B2" s="192"/>
      <c r="C2" s="192"/>
      <c r="D2" s="128"/>
      <c r="E2" s="192"/>
      <c r="F2" s="192"/>
      <c r="G2" s="192"/>
      <c r="H2" s="192"/>
      <c r="I2" s="192"/>
      <c r="J2" s="402"/>
      <c r="K2" s="402"/>
      <c r="L2" s="402"/>
      <c r="M2" s="402"/>
    </row>
    <row r="3" spans="1:14" ht="12" customHeight="1">
      <c r="B3" s="193"/>
      <c r="D3" s="446" t="s">
        <v>460</v>
      </c>
      <c r="F3" s="194"/>
      <c r="H3" s="194" t="s">
        <v>51</v>
      </c>
      <c r="I3" s="194"/>
      <c r="J3" s="194"/>
      <c r="K3" s="195" t="s">
        <v>52</v>
      </c>
      <c r="L3" s="196"/>
      <c r="M3" s="197"/>
      <c r="N3" s="82"/>
    </row>
    <row r="4" spans="1:14" ht="12" customHeight="1">
      <c r="A4" t="s">
        <v>53</v>
      </c>
      <c r="D4" s="445"/>
      <c r="F4" s="198"/>
      <c r="G4" s="199" t="s">
        <v>54</v>
      </c>
      <c r="H4" s="194" t="s">
        <v>55</v>
      </c>
      <c r="J4" s="198"/>
      <c r="K4" s="194" t="s">
        <v>56</v>
      </c>
      <c r="L4" s="194" t="s">
        <v>57</v>
      </c>
      <c r="M4" s="107" t="s">
        <v>58</v>
      </c>
      <c r="N4" s="82"/>
    </row>
    <row r="5" spans="1:14" ht="12" customHeight="1">
      <c r="D5" s="445"/>
      <c r="F5" s="194" t="s">
        <v>59</v>
      </c>
      <c r="G5" s="199" t="s">
        <v>60</v>
      </c>
      <c r="H5" s="194" t="s">
        <v>61</v>
      </c>
      <c r="I5" s="194" t="s">
        <v>62</v>
      </c>
      <c r="J5" s="194" t="s">
        <v>63</v>
      </c>
      <c r="K5" s="194" t="s">
        <v>64</v>
      </c>
      <c r="L5" s="194" t="s">
        <v>64</v>
      </c>
      <c r="M5" s="107" t="s">
        <v>65</v>
      </c>
      <c r="N5" s="82"/>
    </row>
    <row r="6" spans="1:14" ht="12" customHeight="1">
      <c r="A6" s="200" t="s">
        <v>66</v>
      </c>
      <c r="B6" s="402"/>
      <c r="C6" s="402"/>
      <c r="D6" s="402"/>
      <c r="E6" s="402"/>
      <c r="F6" s="201">
        <v>6100</v>
      </c>
      <c r="G6" s="201">
        <v>6200</v>
      </c>
      <c r="H6" s="201">
        <v>6500</v>
      </c>
      <c r="I6" s="201">
        <v>6600</v>
      </c>
      <c r="J6" s="201">
        <v>6800</v>
      </c>
      <c r="K6" s="194">
        <v>2026</v>
      </c>
      <c r="L6" s="107">
        <v>2027</v>
      </c>
      <c r="M6" s="107" t="s">
        <v>67</v>
      </c>
      <c r="N6" s="82"/>
    </row>
    <row r="7" spans="1:14" ht="12" customHeight="1">
      <c r="A7" t="s">
        <v>68</v>
      </c>
      <c r="F7" s="202"/>
      <c r="G7" s="202"/>
      <c r="H7" s="202"/>
      <c r="I7" s="202"/>
      <c r="J7" s="203"/>
      <c r="K7" s="204"/>
      <c r="L7" s="204"/>
      <c r="M7" s="205"/>
    </row>
    <row r="8" spans="1:14" ht="12" customHeight="1">
      <c r="B8" t="s">
        <v>69</v>
      </c>
      <c r="E8" s="390">
        <v>1</v>
      </c>
      <c r="F8" s="7">
        <v>340802</v>
      </c>
      <c r="G8" s="7">
        <v>68160</v>
      </c>
      <c r="H8" s="7">
        <v>26069</v>
      </c>
      <c r="I8" s="7">
        <v>42512</v>
      </c>
      <c r="J8" s="22">
        <v>5479</v>
      </c>
      <c r="K8" s="208">
        <f>[1]!SP1000P100F1000</f>
        <v>487328</v>
      </c>
      <c r="L8" s="208">
        <f>SUM(F8:J8)</f>
        <v>483022</v>
      </c>
      <c r="M8" s="209">
        <f>IF(K8=0," ",(L8-K8)/K8)</f>
        <v>-8.9999999999999993E-3</v>
      </c>
      <c r="N8" s="210">
        <v>1</v>
      </c>
    </row>
    <row r="9" spans="1:14" ht="12" customHeight="1">
      <c r="B9" t="s">
        <v>70</v>
      </c>
      <c r="E9" s="390"/>
      <c r="F9" s="202"/>
      <c r="G9" s="202"/>
      <c r="H9" s="202"/>
      <c r="I9" s="202"/>
      <c r="J9" s="203"/>
      <c r="K9" s="205"/>
      <c r="L9" s="205"/>
      <c r="M9" s="205"/>
      <c r="N9" s="210"/>
    </row>
    <row r="10" spans="1:14" ht="12" customHeight="1">
      <c r="B10" t="s">
        <v>71</v>
      </c>
      <c r="E10" s="390">
        <v>2</v>
      </c>
      <c r="F10" s="7">
        <v>95000</v>
      </c>
      <c r="G10" s="7">
        <f>F10*0.2</f>
        <v>19000</v>
      </c>
      <c r="H10" s="7">
        <v>22602</v>
      </c>
      <c r="I10" s="7"/>
      <c r="J10" s="22"/>
      <c r="K10" s="206">
        <f>[1]!SP1000P100F2100</f>
        <v>168656</v>
      </c>
      <c r="L10" s="206">
        <f>SUM(F10:J10)</f>
        <v>136602</v>
      </c>
      <c r="M10" s="211">
        <f>IF(K10=0," ",(L10-K10)/K10)</f>
        <v>-0.19</v>
      </c>
      <c r="N10" s="210">
        <v>2</v>
      </c>
    </row>
    <row r="11" spans="1:14" ht="12" customHeight="1">
      <c r="B11" t="s">
        <v>72</v>
      </c>
      <c r="E11" s="390">
        <v>3</v>
      </c>
      <c r="F11" s="7"/>
      <c r="G11" s="7"/>
      <c r="H11" s="7"/>
      <c r="I11" s="7"/>
      <c r="J11" s="7"/>
      <c r="K11" s="206">
        <f>[1]!SP1000P100F2200</f>
        <v>0</v>
      </c>
      <c r="L11" s="206">
        <f t="shared" ref="L11:L23" si="0">SUM(F11:J11)</f>
        <v>0</v>
      </c>
      <c r="M11" s="211" t="str">
        <f t="shared" ref="M11:M23" si="1">IF(K11=0," ",(L11-K11)/K11)</f>
        <v xml:space="preserve"> </v>
      </c>
      <c r="N11" s="212">
        <v>3</v>
      </c>
    </row>
    <row r="12" spans="1:14" ht="12" customHeight="1">
      <c r="B12" t="s">
        <v>73</v>
      </c>
      <c r="E12" s="390">
        <v>4</v>
      </c>
      <c r="F12" s="7"/>
      <c r="G12" s="7"/>
      <c r="H12" s="7">
        <v>1541</v>
      </c>
      <c r="I12" s="7"/>
      <c r="J12" s="7">
        <v>1462</v>
      </c>
      <c r="K12" s="213">
        <f>[1]!SP1000P100F2300</f>
        <v>3044</v>
      </c>
      <c r="L12" s="206">
        <f t="shared" si="0"/>
        <v>3003</v>
      </c>
      <c r="M12" s="211">
        <f t="shared" si="1"/>
        <v>-1.2999999999999999E-2</v>
      </c>
      <c r="N12" s="212">
        <v>4</v>
      </c>
    </row>
    <row r="13" spans="1:14" ht="12" customHeight="1">
      <c r="B13" t="s">
        <v>74</v>
      </c>
      <c r="E13" s="390">
        <v>5</v>
      </c>
      <c r="F13" s="7">
        <v>206107</v>
      </c>
      <c r="G13" s="7">
        <f>F13*0.2</f>
        <v>41221</v>
      </c>
      <c r="H13" s="7">
        <v>8694</v>
      </c>
      <c r="I13" s="7">
        <v>4978</v>
      </c>
      <c r="J13" s="7">
        <v>9103</v>
      </c>
      <c r="K13" s="213">
        <f>[1]!SP1000P100F2400</f>
        <v>263360</v>
      </c>
      <c r="L13" s="206">
        <f t="shared" si="0"/>
        <v>270103</v>
      </c>
      <c r="M13" s="211">
        <f t="shared" si="1"/>
        <v>2.5999999999999999E-2</v>
      </c>
      <c r="N13" s="212">
        <v>5</v>
      </c>
    </row>
    <row r="14" spans="1:14" ht="12" customHeight="1">
      <c r="B14" t="s">
        <v>75</v>
      </c>
      <c r="E14" s="390">
        <v>6</v>
      </c>
      <c r="F14" s="7"/>
      <c r="G14" s="7"/>
      <c r="H14" s="7">
        <v>2778</v>
      </c>
      <c r="I14" s="7">
        <v>566</v>
      </c>
      <c r="J14" s="7">
        <v>140</v>
      </c>
      <c r="K14" s="213">
        <f>[1]!SP1000P100F2500</f>
        <v>16275</v>
      </c>
      <c r="L14" s="206">
        <f>SUM(F14:J14)</f>
        <v>3484</v>
      </c>
      <c r="M14" s="211">
        <f t="shared" si="1"/>
        <v>-0.78600000000000003</v>
      </c>
      <c r="N14" s="212">
        <v>6</v>
      </c>
    </row>
    <row r="15" spans="1:14" ht="12" customHeight="1">
      <c r="B15" t="s">
        <v>76</v>
      </c>
      <c r="E15" s="390">
        <v>7</v>
      </c>
      <c r="F15" s="7"/>
      <c r="G15" s="7"/>
      <c r="H15" s="7">
        <v>531781</v>
      </c>
      <c r="I15" s="7">
        <v>44668</v>
      </c>
      <c r="J15" s="7"/>
      <c r="K15" s="213">
        <f>[1]!SP1000P100F2600</f>
        <v>407109</v>
      </c>
      <c r="L15" s="206">
        <f t="shared" si="0"/>
        <v>576449</v>
      </c>
      <c r="M15" s="211">
        <f t="shared" si="1"/>
        <v>0.41599999999999998</v>
      </c>
      <c r="N15" s="212">
        <v>7</v>
      </c>
    </row>
    <row r="16" spans="1:14" ht="12" customHeight="1">
      <c r="B16" t="s">
        <v>77</v>
      </c>
      <c r="E16" s="390">
        <v>8</v>
      </c>
      <c r="F16" s="7"/>
      <c r="G16" s="7"/>
      <c r="H16" s="7"/>
      <c r="I16" s="7"/>
      <c r="J16" s="7"/>
      <c r="K16" s="213">
        <f>[1]!SP1000P100F2900</f>
        <v>0</v>
      </c>
      <c r="L16" s="206">
        <f t="shared" si="0"/>
        <v>0</v>
      </c>
      <c r="M16" s="211" t="str">
        <f t="shared" si="1"/>
        <v xml:space="preserve"> </v>
      </c>
      <c r="N16" s="212">
        <v>8</v>
      </c>
    </row>
    <row r="17" spans="1:14" ht="12" customHeight="1">
      <c r="B17" t="s">
        <v>78</v>
      </c>
      <c r="E17" s="390">
        <v>9</v>
      </c>
      <c r="F17" s="7"/>
      <c r="G17" s="7"/>
      <c r="H17" s="7">
        <v>117709</v>
      </c>
      <c r="I17" s="7"/>
      <c r="J17" s="7">
        <v>257</v>
      </c>
      <c r="K17" s="213">
        <f>[1]!SP1000P100F3000</f>
        <v>136547</v>
      </c>
      <c r="L17" s="206">
        <f t="shared" si="0"/>
        <v>117966</v>
      </c>
      <c r="M17" s="211">
        <f t="shared" si="1"/>
        <v>-0.13600000000000001</v>
      </c>
      <c r="N17" s="212">
        <v>9</v>
      </c>
    </row>
    <row r="18" spans="1:14" ht="12" customHeight="1">
      <c r="B18" t="s">
        <v>79</v>
      </c>
      <c r="E18" s="390">
        <v>10</v>
      </c>
      <c r="F18" s="7"/>
      <c r="G18" s="7"/>
      <c r="H18" s="7"/>
      <c r="I18" s="7"/>
      <c r="J18" s="7"/>
      <c r="K18" s="213">
        <f>[1]!SP1000P100F4000</f>
        <v>0</v>
      </c>
      <c r="L18" s="206">
        <f t="shared" si="0"/>
        <v>0</v>
      </c>
      <c r="M18" s="211" t="str">
        <f t="shared" si="1"/>
        <v xml:space="preserve"> </v>
      </c>
      <c r="N18" s="212">
        <v>10</v>
      </c>
    </row>
    <row r="19" spans="1:14" ht="12" customHeight="1">
      <c r="B19" t="s">
        <v>80</v>
      </c>
      <c r="E19" s="214">
        <v>11</v>
      </c>
      <c r="F19" s="16"/>
      <c r="G19" s="7"/>
      <c r="H19" s="7">
        <v>28884</v>
      </c>
      <c r="I19" s="7"/>
      <c r="J19" s="7"/>
      <c r="K19" s="213">
        <f>[1]!SP1000P100F5000</f>
        <v>29154</v>
      </c>
      <c r="L19" s="206">
        <f t="shared" si="0"/>
        <v>28884</v>
      </c>
      <c r="M19" s="211">
        <f t="shared" si="1"/>
        <v>-8.9999999999999993E-3</v>
      </c>
      <c r="N19" s="212">
        <v>11</v>
      </c>
    </row>
    <row r="20" spans="1:14" ht="12" customHeight="1">
      <c r="A20" t="s">
        <v>81</v>
      </c>
      <c r="E20" s="214">
        <v>12</v>
      </c>
      <c r="F20" s="16"/>
      <c r="G20" s="7"/>
      <c r="H20" s="7"/>
      <c r="I20" s="7"/>
      <c r="J20" s="7"/>
      <c r="K20" s="206">
        <f>[1]!SP1000P610</f>
        <v>0</v>
      </c>
      <c r="L20" s="206">
        <f t="shared" si="0"/>
        <v>0</v>
      </c>
      <c r="M20" s="211" t="str">
        <f t="shared" si="1"/>
        <v xml:space="preserve"> </v>
      </c>
      <c r="N20" s="212">
        <v>12</v>
      </c>
    </row>
    <row r="21" spans="1:14" ht="12" customHeight="1">
      <c r="A21" t="s">
        <v>82</v>
      </c>
      <c r="E21" s="214">
        <v>13</v>
      </c>
      <c r="F21" s="16"/>
      <c r="G21" s="7"/>
      <c r="H21" s="7"/>
      <c r="I21" s="7"/>
      <c r="J21" s="7"/>
      <c r="K21" s="206">
        <f>[1]!SP1000P620</f>
        <v>0</v>
      </c>
      <c r="L21" s="206">
        <f>SUM(F21:J21)</f>
        <v>0</v>
      </c>
      <c r="M21" s="211" t="str">
        <f t="shared" si="1"/>
        <v xml:space="preserve"> </v>
      </c>
      <c r="N21" s="212">
        <v>13</v>
      </c>
    </row>
    <row r="22" spans="1:14" ht="12" customHeight="1">
      <c r="A22" t="s">
        <v>83</v>
      </c>
      <c r="E22" s="214">
        <v>14</v>
      </c>
      <c r="F22" s="16"/>
      <c r="G22" s="7"/>
      <c r="H22" s="7"/>
      <c r="I22" s="7"/>
      <c r="J22" s="7"/>
      <c r="K22" s="206">
        <f>[1]!SP1000P630700800900</f>
        <v>0</v>
      </c>
      <c r="L22" s="206">
        <f t="shared" si="0"/>
        <v>0</v>
      </c>
      <c r="M22" s="211" t="str">
        <f t="shared" si="1"/>
        <v xml:space="preserve"> </v>
      </c>
      <c r="N22" s="212">
        <v>14</v>
      </c>
    </row>
    <row r="23" spans="1:14" ht="12" customHeight="1">
      <c r="A23" s="402"/>
      <c r="B23" s="402" t="s">
        <v>84</v>
      </c>
      <c r="C23" s="402"/>
      <c r="D23" s="402"/>
      <c r="E23" s="216">
        <v>15</v>
      </c>
      <c r="F23" s="206">
        <f>SUM(F7:F22)</f>
        <v>641909</v>
      </c>
      <c r="G23" s="206">
        <f>SUM(G7:G22)</f>
        <v>128381</v>
      </c>
      <c r="H23" s="206">
        <f>SUM(H7:H22)</f>
        <v>740058</v>
      </c>
      <c r="I23" s="206">
        <f>SUM(I7:I22)</f>
        <v>92724</v>
      </c>
      <c r="J23" s="206">
        <f>SUM(J7:J22)</f>
        <v>16441</v>
      </c>
      <c r="K23" s="217">
        <f>SUM(K8:K22)</f>
        <v>1511473</v>
      </c>
      <c r="L23" s="217">
        <f t="shared" si="0"/>
        <v>1619513</v>
      </c>
      <c r="M23" s="211">
        <f t="shared" si="1"/>
        <v>7.0999999999999994E-2</v>
      </c>
      <c r="N23" s="212">
        <v>15</v>
      </c>
    </row>
    <row r="24" spans="1:14" ht="12" customHeight="1">
      <c r="A24" t="s">
        <v>85</v>
      </c>
      <c r="E24" s="390"/>
      <c r="F24" s="202"/>
      <c r="G24" s="202"/>
      <c r="H24" s="202"/>
      <c r="I24" s="202"/>
      <c r="J24" s="203"/>
      <c r="K24" s="205"/>
      <c r="L24" s="205"/>
      <c r="M24" s="205"/>
      <c r="N24" s="212"/>
    </row>
    <row r="25" spans="1:14" ht="12" customHeight="1">
      <c r="B25" t="s">
        <v>69</v>
      </c>
      <c r="E25" s="390">
        <v>16</v>
      </c>
      <c r="F25" s="7"/>
      <c r="G25" s="7"/>
      <c r="H25" s="7">
        <v>114463</v>
      </c>
      <c r="I25" s="7"/>
      <c r="J25" s="22"/>
      <c r="K25" s="206">
        <f>[1]!SP1000P200F1000</f>
        <v>166619</v>
      </c>
      <c r="L25" s="206">
        <f>SUM(F25:J25)</f>
        <v>114463</v>
      </c>
      <c r="M25" s="218">
        <f>IF(K25=0," ",(L25-K25)/K25)</f>
        <v>-0.313</v>
      </c>
      <c r="N25" s="212">
        <v>16</v>
      </c>
    </row>
    <row r="26" spans="1:14" ht="12" customHeight="1">
      <c r="B26" t="s">
        <v>70</v>
      </c>
      <c r="E26" s="390"/>
      <c r="F26" s="202"/>
      <c r="G26" s="202"/>
      <c r="H26" s="202"/>
      <c r="I26" s="202"/>
      <c r="J26" s="203"/>
      <c r="K26" s="205"/>
      <c r="L26" s="205"/>
      <c r="M26" s="205"/>
      <c r="N26" s="212"/>
    </row>
    <row r="27" spans="1:14" ht="12" customHeight="1">
      <c r="B27" t="s">
        <v>71</v>
      </c>
      <c r="E27" s="214">
        <v>17</v>
      </c>
      <c r="F27" s="7"/>
      <c r="G27" s="7"/>
      <c r="H27" s="7"/>
      <c r="I27" s="7"/>
      <c r="J27" s="22"/>
      <c r="K27" s="206">
        <f>[1]!SP1000P200F2100</f>
        <v>0</v>
      </c>
      <c r="L27" s="206">
        <f>SUM(F27:J27)</f>
        <v>0</v>
      </c>
      <c r="M27" s="218" t="str">
        <f>IF(K27=0," ",(L27-K27)/K27)</f>
        <v xml:space="preserve"> </v>
      </c>
      <c r="N27" s="212">
        <v>17</v>
      </c>
    </row>
    <row r="28" spans="1:14" ht="12" customHeight="1">
      <c r="B28" t="s">
        <v>72</v>
      </c>
      <c r="E28" s="214">
        <v>18</v>
      </c>
      <c r="F28" s="7"/>
      <c r="G28" s="7"/>
      <c r="H28" s="7">
        <v>0</v>
      </c>
      <c r="I28" s="7">
        <v>0</v>
      </c>
      <c r="J28" s="7"/>
      <c r="K28" s="206">
        <f>[1]!SP1000P200F2200</f>
        <v>0</v>
      </c>
      <c r="L28" s="206">
        <f t="shared" ref="L28:L42" si="2">SUM(F28:J28)</f>
        <v>0</v>
      </c>
      <c r="M28" s="219" t="str">
        <f t="shared" ref="M28:M48" si="3">IF(K28=0," ",(L28-K28)/K28)</f>
        <v xml:space="preserve"> </v>
      </c>
      <c r="N28" s="212">
        <v>18</v>
      </c>
    </row>
    <row r="29" spans="1:14" ht="12" customHeight="1">
      <c r="B29" t="s">
        <v>73</v>
      </c>
      <c r="E29" s="214">
        <v>19</v>
      </c>
      <c r="F29" s="7"/>
      <c r="G29" s="7"/>
      <c r="H29" s="7"/>
      <c r="I29" s="7"/>
      <c r="J29" s="7"/>
      <c r="K29" s="213">
        <f>[1]!SP1000P200F2300</f>
        <v>0</v>
      </c>
      <c r="L29" s="206">
        <f t="shared" si="2"/>
        <v>0</v>
      </c>
      <c r="M29" s="211" t="str">
        <f t="shared" si="3"/>
        <v xml:space="preserve"> </v>
      </c>
      <c r="N29" s="212">
        <v>19</v>
      </c>
    </row>
    <row r="30" spans="1:14" ht="12" customHeight="1">
      <c r="B30" t="s">
        <v>74</v>
      </c>
      <c r="E30" s="214">
        <v>20</v>
      </c>
      <c r="F30" s="7"/>
      <c r="G30" s="7"/>
      <c r="H30" s="7"/>
      <c r="I30" s="7"/>
      <c r="J30" s="7"/>
      <c r="K30" s="213">
        <f>[1]!SP1000P200F2400</f>
        <v>0</v>
      </c>
      <c r="L30" s="206">
        <f t="shared" si="2"/>
        <v>0</v>
      </c>
      <c r="M30" s="211" t="str">
        <f t="shared" si="3"/>
        <v xml:space="preserve"> </v>
      </c>
      <c r="N30" s="212">
        <v>20</v>
      </c>
    </row>
    <row r="31" spans="1:14" ht="12" customHeight="1">
      <c r="B31" t="s">
        <v>75</v>
      </c>
      <c r="E31" s="214">
        <v>21</v>
      </c>
      <c r="F31" s="7"/>
      <c r="G31" s="7"/>
      <c r="H31" s="7"/>
      <c r="I31" s="7"/>
      <c r="J31" s="7"/>
      <c r="K31" s="213">
        <f>[1]!SP1000P200F2500</f>
        <v>0</v>
      </c>
      <c r="L31" s="206">
        <f>SUM(F31:J31)</f>
        <v>0</v>
      </c>
      <c r="M31" s="211" t="str">
        <f t="shared" si="3"/>
        <v xml:space="preserve"> </v>
      </c>
      <c r="N31" s="212">
        <v>21</v>
      </c>
    </row>
    <row r="32" spans="1:14" ht="12" customHeight="1">
      <c r="B32" t="s">
        <v>76</v>
      </c>
      <c r="E32" s="214">
        <v>22</v>
      </c>
      <c r="F32" s="7"/>
      <c r="G32" s="7"/>
      <c r="H32" s="7"/>
      <c r="I32" s="7"/>
      <c r="J32" s="7"/>
      <c r="K32" s="213">
        <f>[1]!SP1000P200F2600</f>
        <v>40000</v>
      </c>
      <c r="L32" s="206">
        <f t="shared" si="2"/>
        <v>0</v>
      </c>
      <c r="M32" s="211">
        <f t="shared" si="3"/>
        <v>-1</v>
      </c>
      <c r="N32" s="212">
        <v>22</v>
      </c>
    </row>
    <row r="33" spans="1:18" ht="12" customHeight="1">
      <c r="B33" t="s">
        <v>77</v>
      </c>
      <c r="E33" s="214">
        <v>23</v>
      </c>
      <c r="F33" s="7"/>
      <c r="G33" s="7"/>
      <c r="H33" s="7"/>
      <c r="I33" s="7"/>
      <c r="J33" s="7"/>
      <c r="K33" s="213">
        <f>[1]!SP1000P200F2900</f>
        <v>0</v>
      </c>
      <c r="L33" s="206">
        <f t="shared" si="2"/>
        <v>0</v>
      </c>
      <c r="M33" s="211" t="str">
        <f t="shared" si="3"/>
        <v xml:space="preserve"> </v>
      </c>
      <c r="N33" s="212">
        <v>23</v>
      </c>
    </row>
    <row r="34" spans="1:18" ht="12" customHeight="1">
      <c r="B34" t="s">
        <v>78</v>
      </c>
      <c r="E34" s="214">
        <v>24</v>
      </c>
      <c r="F34" s="7"/>
      <c r="G34" s="7"/>
      <c r="H34" s="7"/>
      <c r="I34" s="7"/>
      <c r="J34" s="7"/>
      <c r="K34" s="213">
        <f>[1]!SP1000P200F3000</f>
        <v>0</v>
      </c>
      <c r="L34" s="206">
        <f t="shared" si="2"/>
        <v>0</v>
      </c>
      <c r="M34" s="211" t="str">
        <f t="shared" si="3"/>
        <v xml:space="preserve"> </v>
      </c>
      <c r="N34" s="212">
        <v>24</v>
      </c>
      <c r="R34" s="193"/>
    </row>
    <row r="35" spans="1:18" ht="12" customHeight="1">
      <c r="B35" t="s">
        <v>79</v>
      </c>
      <c r="E35" s="214">
        <v>25</v>
      </c>
      <c r="F35" s="7"/>
      <c r="G35" s="7"/>
      <c r="H35" s="7"/>
      <c r="I35" s="7"/>
      <c r="J35" s="7"/>
      <c r="K35" s="213">
        <f>[1]!SP1000P200F4000</f>
        <v>0</v>
      </c>
      <c r="L35" s="206">
        <f t="shared" si="2"/>
        <v>0</v>
      </c>
      <c r="M35" s="211" t="str">
        <f t="shared" si="3"/>
        <v xml:space="preserve"> </v>
      </c>
      <c r="N35" s="212">
        <v>25</v>
      </c>
    </row>
    <row r="36" spans="1:18" ht="12" customHeight="1">
      <c r="B36" t="s">
        <v>80</v>
      </c>
      <c r="E36" s="390">
        <v>26</v>
      </c>
      <c r="F36" s="7"/>
      <c r="G36" s="7"/>
      <c r="H36" s="7"/>
      <c r="I36" s="7"/>
      <c r="J36" s="7"/>
      <c r="K36" s="213">
        <f>[1]!SP1000P200F5000</f>
        <v>0</v>
      </c>
      <c r="L36" s="206">
        <f t="shared" si="2"/>
        <v>0</v>
      </c>
      <c r="M36" s="211" t="str">
        <f t="shared" si="3"/>
        <v xml:space="preserve"> </v>
      </c>
      <c r="N36" s="212">
        <v>26</v>
      </c>
    </row>
    <row r="37" spans="1:18" ht="12" customHeight="1">
      <c r="A37" s="402"/>
      <c r="B37" s="402" t="s">
        <v>86</v>
      </c>
      <c r="C37" s="402"/>
      <c r="D37" s="402"/>
      <c r="E37" s="216">
        <v>27</v>
      </c>
      <c r="F37" s="213">
        <f>SUM(F24:F36)</f>
        <v>0</v>
      </c>
      <c r="G37" s="213">
        <f>SUM(G24:G36)</f>
        <v>0</v>
      </c>
      <c r="H37" s="213">
        <f>SUM(H24:H36)</f>
        <v>114463</v>
      </c>
      <c r="I37" s="213">
        <f>SUM(I24:I36)</f>
        <v>0</v>
      </c>
      <c r="J37" s="213">
        <f>SUM(J24:J36)</f>
        <v>0</v>
      </c>
      <c r="K37" s="213">
        <f>SUM(K25:K36)</f>
        <v>206619</v>
      </c>
      <c r="L37" s="213">
        <f t="shared" si="2"/>
        <v>114463</v>
      </c>
      <c r="M37" s="219">
        <f t="shared" si="3"/>
        <v>-0.44600000000000001</v>
      </c>
      <c r="N37" s="212">
        <v>27</v>
      </c>
    </row>
    <row r="38" spans="1:18" ht="0.75" customHeight="1">
      <c r="A38" t="s">
        <v>87</v>
      </c>
      <c r="E38" s="390">
        <v>28</v>
      </c>
      <c r="F38" s="220"/>
      <c r="G38" s="220"/>
      <c r="H38" s="220"/>
      <c r="I38" s="220"/>
      <c r="J38" s="220"/>
      <c r="K38" s="220"/>
      <c r="L38" s="220"/>
      <c r="M38" s="221"/>
      <c r="N38" s="210">
        <v>28</v>
      </c>
    </row>
    <row r="39" spans="1:18" ht="12" customHeight="1">
      <c r="A39" s="402" t="s">
        <v>88</v>
      </c>
      <c r="B39" s="402"/>
      <c r="C39" s="402"/>
      <c r="D39" s="402"/>
      <c r="E39" s="216">
        <v>28</v>
      </c>
      <c r="F39" s="7"/>
      <c r="G39" s="7"/>
      <c r="H39" s="7">
        <v>116861</v>
      </c>
      <c r="I39" s="7">
        <v>1198</v>
      </c>
      <c r="J39" s="7">
        <v>160</v>
      </c>
      <c r="K39" s="206">
        <f>[1]!SP1000P400</f>
        <v>100256</v>
      </c>
      <c r="L39" s="206">
        <f t="shared" si="2"/>
        <v>118219</v>
      </c>
      <c r="M39" s="211">
        <f t="shared" si="3"/>
        <v>0.17899999999999999</v>
      </c>
      <c r="N39" s="212">
        <v>28</v>
      </c>
    </row>
    <row r="40" spans="1:18" ht="12" customHeight="1">
      <c r="A40" s="402" t="s">
        <v>89</v>
      </c>
      <c r="B40" s="402"/>
      <c r="C40" s="402"/>
      <c r="D40" s="402"/>
      <c r="E40" s="222">
        <v>29</v>
      </c>
      <c r="F40" s="7"/>
      <c r="G40" s="7"/>
      <c r="H40" s="7"/>
      <c r="I40" s="7"/>
      <c r="J40" s="7"/>
      <c r="K40" s="213">
        <f>[1]!SP1000P530</f>
        <v>0</v>
      </c>
      <c r="L40" s="206">
        <f>SUM(F40:J40)</f>
        <v>0</v>
      </c>
      <c r="M40" s="211" t="str">
        <f t="shared" si="3"/>
        <v xml:space="preserve"> </v>
      </c>
      <c r="N40" s="212">
        <v>29</v>
      </c>
    </row>
    <row r="41" spans="1:18" ht="12" customHeight="1">
      <c r="A41" s="402" t="s">
        <v>90</v>
      </c>
      <c r="B41" s="402"/>
      <c r="C41" s="402"/>
      <c r="D41" s="402"/>
      <c r="E41" s="222">
        <v>30</v>
      </c>
      <c r="F41" s="7"/>
      <c r="G41" s="7"/>
      <c r="H41" s="7"/>
      <c r="I41" s="7"/>
      <c r="J41" s="7"/>
      <c r="K41" s="213">
        <f>[1]!SP1000P540</f>
        <v>0</v>
      </c>
      <c r="L41" s="206">
        <f t="shared" si="2"/>
        <v>0</v>
      </c>
      <c r="M41" s="211" t="str">
        <f t="shared" si="3"/>
        <v xml:space="preserve"> </v>
      </c>
      <c r="N41" s="212">
        <v>30</v>
      </c>
    </row>
    <row r="42" spans="1:18" ht="12" customHeight="1">
      <c r="A42" s="223" t="s">
        <v>91</v>
      </c>
      <c r="B42" s="224"/>
      <c r="C42" s="224"/>
      <c r="D42" s="224"/>
      <c r="E42" s="222">
        <v>31</v>
      </c>
      <c r="F42" s="7"/>
      <c r="G42" s="7"/>
      <c r="H42" s="7"/>
      <c r="I42" s="7"/>
      <c r="J42" s="7"/>
      <c r="K42" s="213">
        <f>[1]!SP1000P550</f>
        <v>0</v>
      </c>
      <c r="L42" s="206">
        <f t="shared" si="2"/>
        <v>0</v>
      </c>
      <c r="M42" s="211" t="str">
        <f t="shared" si="3"/>
        <v xml:space="preserve"> </v>
      </c>
      <c r="N42" s="212">
        <v>31</v>
      </c>
    </row>
    <row r="43" spans="1:18" ht="12" customHeight="1">
      <c r="A43" s="402"/>
      <c r="B43" s="402" t="s">
        <v>92</v>
      </c>
      <c r="C43" s="402"/>
      <c r="D43" s="402"/>
      <c r="E43" s="222">
        <v>32</v>
      </c>
      <c r="F43" s="206">
        <f>SUM(F37:F42)+F23</f>
        <v>641909</v>
      </c>
      <c r="G43" s="206">
        <f t="shared" ref="G43:K43" si="4">SUM(G37:G42)+G23</f>
        <v>128381</v>
      </c>
      <c r="H43" s="206">
        <f t="shared" si="4"/>
        <v>971382</v>
      </c>
      <c r="I43" s="206">
        <f t="shared" si="4"/>
        <v>93922</v>
      </c>
      <c r="J43" s="206">
        <f t="shared" si="4"/>
        <v>16601</v>
      </c>
      <c r="K43" s="206">
        <f t="shared" si="4"/>
        <v>1818348</v>
      </c>
      <c r="L43" s="206">
        <f>SUM(F43:J43)</f>
        <v>1852195</v>
      </c>
      <c r="M43" s="211">
        <f t="shared" si="3"/>
        <v>1.9E-2</v>
      </c>
      <c r="N43" s="212">
        <v>32</v>
      </c>
    </row>
    <row r="44" spans="1:18" ht="12" customHeight="1">
      <c r="A44" s="402" t="s">
        <v>93</v>
      </c>
      <c r="B44" s="402"/>
      <c r="C44" s="402"/>
      <c r="D44" s="402"/>
      <c r="E44" s="222">
        <v>33</v>
      </c>
      <c r="F44" s="206">
        <v>148750</v>
      </c>
      <c r="G44" s="206">
        <f>F44*0.2</f>
        <v>29750</v>
      </c>
      <c r="H44" s="206">
        <f>TotalCSP630064006500</f>
        <v>0</v>
      </c>
      <c r="I44" s="206">
        <f>TotalCSP6600</f>
        <v>0</v>
      </c>
      <c r="J44" s="225"/>
      <c r="K44" s="206">
        <f>[1]!SP1000ClassSiteProj</f>
        <v>164937</v>
      </c>
      <c r="L44" s="206">
        <f>SUM(F44:J44)</f>
        <v>178500</v>
      </c>
      <c r="M44" s="211">
        <f t="shared" si="3"/>
        <v>8.2000000000000003E-2</v>
      </c>
      <c r="N44" s="212">
        <v>33</v>
      </c>
    </row>
    <row r="45" spans="1:18" ht="12" customHeight="1">
      <c r="A45" s="402" t="s">
        <v>94</v>
      </c>
      <c r="B45" s="402"/>
      <c r="C45" s="402"/>
      <c r="D45" s="402"/>
      <c r="E45" s="222">
        <v>34</v>
      </c>
      <c r="F45" s="225"/>
      <c r="G45" s="225"/>
      <c r="H45" s="225"/>
      <c r="I45" s="225"/>
      <c r="J45" s="225"/>
      <c r="K45" s="206">
        <f>[1]!SP1000InstrImpProj</f>
        <v>5520</v>
      </c>
      <c r="L45" s="206">
        <f>TotalInstructionalImprovement</f>
        <v>12200</v>
      </c>
      <c r="M45" s="211">
        <f t="shared" si="3"/>
        <v>1.21</v>
      </c>
      <c r="N45" s="212">
        <v>34</v>
      </c>
    </row>
    <row r="46" spans="1:18" ht="12" customHeight="1">
      <c r="A46" s="402" t="s">
        <v>95</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96</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97</v>
      </c>
      <c r="B48" s="224"/>
      <c r="C48" s="224"/>
      <c r="D48" s="224"/>
      <c r="E48" s="222">
        <v>37</v>
      </c>
      <c r="F48" s="225"/>
      <c r="G48" s="225"/>
      <c r="H48" s="225"/>
      <c r="I48" s="225"/>
      <c r="J48" s="225"/>
      <c r="K48" s="213">
        <f>[1]!SP1000FedStProj</f>
        <v>123518</v>
      </c>
      <c r="L48" s="206">
        <f>FederalandStateProjectsTotal</f>
        <v>119735</v>
      </c>
      <c r="M48" s="211">
        <f t="shared" si="3"/>
        <v>-3.1E-2</v>
      </c>
      <c r="N48" s="212">
        <v>37</v>
      </c>
    </row>
    <row r="49" spans="1:14" ht="12" customHeight="1">
      <c r="A49" s="226"/>
      <c r="B49" s="402" t="s">
        <v>98</v>
      </c>
      <c r="C49" s="402"/>
      <c r="D49" s="402"/>
      <c r="E49" s="222">
        <v>38</v>
      </c>
      <c r="F49" s="227">
        <f>SUM(F43+F44+F46+F47)</f>
        <v>790659</v>
      </c>
      <c r="G49" s="227">
        <f>SUM(G43+G44+G46+G47)</f>
        <v>158131</v>
      </c>
      <c r="H49" s="227">
        <f>SUM(H43+H44+H46+H47)</f>
        <v>971382</v>
      </c>
      <c r="I49" s="227">
        <f>SUM(I43+I44+I46+I47)</f>
        <v>93922</v>
      </c>
      <c r="J49" s="227">
        <f>SUM(J43+J46+J47)</f>
        <v>16601</v>
      </c>
      <c r="K49" s="228">
        <f>SUM(K43:K48)</f>
        <v>2112323</v>
      </c>
      <c r="L49" s="228">
        <f>SUM(L43:L48)</f>
        <v>2162630</v>
      </c>
      <c r="M49" s="211">
        <f>IF(K49=0," ",(L49-K49)/K49)</f>
        <v>2.4E-2</v>
      </c>
      <c r="N49" s="212">
        <v>38</v>
      </c>
    </row>
  </sheetData>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S50"/>
  <sheetViews>
    <sheetView showGridLines="0" workbookViewId="0">
      <selection activeCell="N40" sqref="N40"/>
    </sheetView>
  </sheetViews>
  <sheetFormatPr defaultColWidth="9.28515625" defaultRowHeight="12.75" customHeight="1"/>
  <cols>
    <col min="1" max="1" width="3.5703125" customWidth="1"/>
    <col min="2" max="2" width="14.5703125" customWidth="1"/>
    <col min="3" max="3" width="35" customWidth="1"/>
    <col min="4" max="5" width="12.28515625" customWidth="1"/>
    <col min="6" max="6" width="3.5703125" customWidth="1"/>
    <col min="7" max="7" width="5.28515625" customWidth="1"/>
    <col min="8" max="8" width="27.28515625" customWidth="1"/>
    <col min="9" max="9" width="6.5703125" customWidth="1"/>
    <col min="10" max="10" width="6.28515625" customWidth="1"/>
    <col min="11" max="11" width="5.28515625" customWidth="1"/>
    <col min="12" max="12" width="7" customWidth="1"/>
    <col min="13" max="14" width="12.28515625" customWidth="1"/>
    <col min="15" max="15" width="3.5703125" customWidth="1"/>
    <col min="16" max="16" width="7.5703125" customWidth="1"/>
  </cols>
  <sheetData>
    <row r="1" spans="1:19" ht="13.5" customHeight="1">
      <c r="A1" t="s">
        <v>0</v>
      </c>
      <c r="C1" s="506" t="str">
        <f>CharterName</f>
        <v>George Gervin Youth Center, INC</v>
      </c>
      <c r="D1" s="506"/>
      <c r="E1" s="506"/>
      <c r="F1" s="506"/>
      <c r="H1" s="406" t="s">
        <v>1</v>
      </c>
      <c r="I1" s="507" t="str">
        <f>Cover!M1</f>
        <v>Maricopa</v>
      </c>
      <c r="J1" s="509"/>
      <c r="K1" s="509"/>
      <c r="M1" s="406" t="s">
        <v>2</v>
      </c>
      <c r="N1" s="396" t="str">
        <f>CTD</f>
        <v>078585000</v>
      </c>
      <c r="P1" s="516" t="s">
        <v>460</v>
      </c>
      <c r="Q1" s="516"/>
    </row>
    <row r="2" spans="1:19" ht="7.5" customHeight="1">
      <c r="A2" s="229"/>
      <c r="B2" s="128"/>
      <c r="C2" s="128"/>
      <c r="D2" s="128"/>
      <c r="E2" s="128"/>
      <c r="H2" s="230"/>
      <c r="I2" s="231"/>
      <c r="J2" s="231"/>
      <c r="K2" s="231"/>
      <c r="L2" s="231"/>
      <c r="M2" s="231"/>
      <c r="N2" s="231"/>
    </row>
    <row r="3" spans="1:19" ht="12" customHeight="1">
      <c r="A3" s="512" t="s">
        <v>99</v>
      </c>
      <c r="B3" s="513"/>
      <c r="C3" s="513"/>
      <c r="D3" s="232"/>
      <c r="E3" s="232"/>
      <c r="H3" s="232" t="s">
        <v>100</v>
      </c>
      <c r="I3" s="233"/>
      <c r="J3" s="233"/>
      <c r="K3" s="233"/>
      <c r="L3" s="233"/>
      <c r="M3" s="233"/>
      <c r="N3" s="233"/>
      <c r="Q3" s="508"/>
      <c r="R3" s="508"/>
    </row>
    <row r="4" spans="1:19" ht="40.5" customHeight="1">
      <c r="A4" s="94" t="s">
        <v>101</v>
      </c>
      <c r="D4" s="452" t="s">
        <v>472</v>
      </c>
      <c r="E4" s="452" t="s">
        <v>473</v>
      </c>
      <c r="H4" s="128"/>
      <c r="I4" s="128"/>
      <c r="J4" s="128"/>
      <c r="K4" s="128"/>
      <c r="M4" s="452" t="s">
        <v>476</v>
      </c>
      <c r="N4" s="452" t="s">
        <v>477</v>
      </c>
      <c r="Q4" s="508"/>
      <c r="R4" s="508"/>
    </row>
    <row r="5" spans="1:19" ht="12" customHeight="1">
      <c r="A5" s="234">
        <v>1</v>
      </c>
      <c r="B5" s="117" t="s">
        <v>102</v>
      </c>
      <c r="C5" s="117"/>
      <c r="D5" s="235">
        <f>[1]!FP11001130TitleI</f>
        <v>80603</v>
      </c>
      <c r="E5" s="19">
        <v>74117</v>
      </c>
      <c r="F5" s="210">
        <v>1</v>
      </c>
      <c r="G5" s="236">
        <v>1</v>
      </c>
      <c r="H5" s="237" t="s">
        <v>103</v>
      </c>
      <c r="I5" s="237"/>
      <c r="J5" s="238"/>
      <c r="K5" s="117"/>
      <c r="M5" s="239">
        <f>'[1]Page 2'!$N$5</f>
        <v>206619</v>
      </c>
      <c r="N5" s="20">
        <v>114463</v>
      </c>
      <c r="O5" s="210">
        <v>1</v>
      </c>
      <c r="R5" s="220"/>
      <c r="S5" s="220"/>
    </row>
    <row r="6" spans="1:19" ht="12" customHeight="1">
      <c r="A6" s="234">
        <v>2</v>
      </c>
      <c r="B6" s="117" t="s">
        <v>104</v>
      </c>
      <c r="C6" s="117"/>
      <c r="D6" s="235">
        <f>[1]!FP11401150TitleII</f>
        <v>5191</v>
      </c>
      <c r="E6" s="19">
        <v>6511</v>
      </c>
      <c r="F6" s="210">
        <v>2</v>
      </c>
      <c r="G6" s="236">
        <v>2</v>
      </c>
      <c r="H6" s="117" t="s">
        <v>105</v>
      </c>
      <c r="I6" s="117"/>
      <c r="J6" s="117"/>
      <c r="K6" s="117"/>
      <c r="M6" s="239">
        <f>[1]!P200GiftedEducation</f>
        <v>0</v>
      </c>
      <c r="N6" s="20"/>
      <c r="O6" s="210">
        <v>2</v>
      </c>
      <c r="R6" s="220"/>
      <c r="S6" s="220"/>
    </row>
    <row r="7" spans="1:19" ht="12" customHeight="1">
      <c r="A7" s="234">
        <v>3</v>
      </c>
      <c r="B7" s="117" t="s">
        <v>106</v>
      </c>
      <c r="C7" s="117"/>
      <c r="D7" s="235">
        <f>[1]!FP1160TitleIV</f>
        <v>10000</v>
      </c>
      <c r="E7" s="19">
        <v>10000</v>
      </c>
      <c r="F7" s="210">
        <v>3</v>
      </c>
      <c r="G7" s="236">
        <v>3</v>
      </c>
      <c r="H7" s="117" t="s">
        <v>107</v>
      </c>
      <c r="I7" s="117"/>
      <c r="J7" s="117"/>
      <c r="K7" s="117"/>
      <c r="M7" s="235">
        <f>[1]!P200ELLIncrementalCosts</f>
        <v>0</v>
      </c>
      <c r="N7" s="19"/>
      <c r="O7" s="210">
        <v>3</v>
      </c>
      <c r="R7" s="220"/>
      <c r="S7" s="220"/>
    </row>
    <row r="8" spans="1:19" ht="12" customHeight="1">
      <c r="A8" s="234">
        <v>4</v>
      </c>
      <c r="B8" s="117" t="s">
        <v>108</v>
      </c>
      <c r="C8" s="117"/>
      <c r="D8" s="235">
        <f>[1]!FP11701180TitleV</f>
        <v>0</v>
      </c>
      <c r="E8" s="19"/>
      <c r="F8" s="210">
        <v>4</v>
      </c>
      <c r="G8" s="236">
        <v>4</v>
      </c>
      <c r="H8" s="117" t="s">
        <v>109</v>
      </c>
      <c r="I8" s="117"/>
      <c r="J8" s="117"/>
      <c r="K8" s="117"/>
      <c r="M8" s="235">
        <f>[1]!P200ELLCompensatoryInstruction</f>
        <v>0</v>
      </c>
      <c r="N8" s="19"/>
      <c r="O8" s="210">
        <v>4</v>
      </c>
      <c r="R8" s="220"/>
      <c r="S8" s="220"/>
    </row>
    <row r="9" spans="1:19" ht="12" customHeight="1">
      <c r="A9" s="234">
        <v>5</v>
      </c>
      <c r="B9" s="117" t="s">
        <v>110</v>
      </c>
      <c r="C9" s="117"/>
      <c r="D9" s="235">
        <f>[1]!FP1190TitleIII</f>
        <v>0</v>
      </c>
      <c r="E9" s="19"/>
      <c r="F9" s="210">
        <v>5</v>
      </c>
      <c r="G9" s="236">
        <v>5</v>
      </c>
      <c r="H9" s="117" t="s">
        <v>111</v>
      </c>
      <c r="I9" s="117"/>
      <c r="J9" s="117"/>
      <c r="K9" s="117"/>
      <c r="M9" s="235">
        <f>[1]!P200RemedialEducation</f>
        <v>0</v>
      </c>
      <c r="N9" s="19"/>
      <c r="O9" s="210">
        <v>5</v>
      </c>
      <c r="R9" s="220"/>
      <c r="S9" s="220"/>
    </row>
    <row r="10" spans="1:19" ht="12" customHeight="1">
      <c r="A10" s="234">
        <v>6</v>
      </c>
      <c r="B10" s="117" t="s">
        <v>112</v>
      </c>
      <c r="C10" s="117"/>
      <c r="D10" s="235">
        <f>[1]!FP1200TitleVII</f>
        <v>0</v>
      </c>
      <c r="E10" s="19"/>
      <c r="F10" s="210">
        <v>6</v>
      </c>
      <c r="G10" s="236">
        <v>6</v>
      </c>
      <c r="H10" s="117" t="s">
        <v>113</v>
      </c>
      <c r="I10" s="117"/>
      <c r="J10" s="117"/>
      <c r="K10" s="117"/>
      <c r="M10" s="235">
        <f>[1]!P200VocationalandTechnologicalEd</f>
        <v>0</v>
      </c>
      <c r="N10" s="19"/>
      <c r="O10" s="210">
        <v>6</v>
      </c>
      <c r="R10" s="220"/>
      <c r="S10" s="220"/>
    </row>
    <row r="11" spans="1:19" ht="12" customHeight="1">
      <c r="A11" s="234">
        <v>7</v>
      </c>
      <c r="B11" s="117" t="s">
        <v>114</v>
      </c>
      <c r="C11" s="117"/>
      <c r="D11" s="235">
        <f>[1]!FP1210TitleVI</f>
        <v>0</v>
      </c>
      <c r="E11" s="19"/>
      <c r="F11" s="210">
        <v>7</v>
      </c>
      <c r="G11" s="236">
        <v>7</v>
      </c>
      <c r="H11" s="117" t="s">
        <v>115</v>
      </c>
      <c r="I11" s="117"/>
      <c r="J11" s="117"/>
      <c r="K11" s="117"/>
      <c r="M11" s="235">
        <f>[1]!P200CareerEducation</f>
        <v>0</v>
      </c>
      <c r="N11" s="19"/>
      <c r="O11" s="210">
        <v>7</v>
      </c>
      <c r="R11" s="220"/>
      <c r="S11" s="220"/>
    </row>
    <row r="12" spans="1:19" ht="12" customHeight="1">
      <c r="A12" s="234">
        <v>8</v>
      </c>
      <c r="B12" s="117" t="s">
        <v>116</v>
      </c>
      <c r="C12" s="117"/>
      <c r="D12" s="235">
        <f>[1]!FP1220IDEA</f>
        <v>22020</v>
      </c>
      <c r="E12" s="19">
        <v>29107</v>
      </c>
      <c r="F12" s="210">
        <v>8</v>
      </c>
      <c r="G12" s="236">
        <v>8</v>
      </c>
      <c r="H12" t="s">
        <v>117</v>
      </c>
      <c r="K12" s="117"/>
      <c r="M12" s="239">
        <f>SUM(M5:M11)</f>
        <v>206619</v>
      </c>
      <c r="N12" s="239">
        <f>SUM(N5:N11)</f>
        <v>114463</v>
      </c>
      <c r="O12" s="210">
        <v>8</v>
      </c>
      <c r="P12" s="136" t="str">
        <f>IF(SUM(N5:N11)=SUM('Page 1'!L37),"","Invalid. The amount must equal the total budgeted amount reported on page 1, line 27.")</f>
        <v/>
      </c>
      <c r="R12" s="220"/>
      <c r="S12" s="220"/>
    </row>
    <row r="13" spans="1:19" ht="12" customHeight="1">
      <c r="A13" s="234">
        <v>9</v>
      </c>
      <c r="B13" s="117" t="s">
        <v>118</v>
      </c>
      <c r="C13" s="117"/>
      <c r="D13" s="235">
        <f>[1]!FP1230Johnson</f>
        <v>0</v>
      </c>
      <c r="E13" s="19"/>
      <c r="F13" s="210">
        <v>9</v>
      </c>
      <c r="N13" s="220"/>
      <c r="O13" s="210"/>
      <c r="R13" s="220"/>
      <c r="S13" s="220"/>
    </row>
    <row r="14" spans="1:19" ht="12.75" customHeight="1">
      <c r="A14" s="234">
        <v>10</v>
      </c>
      <c r="B14" s="117" t="s">
        <v>119</v>
      </c>
      <c r="C14" s="117"/>
      <c r="D14" s="235">
        <f>[1]!FP1240WIA</f>
        <v>0</v>
      </c>
      <c r="E14" s="19"/>
      <c r="F14" s="210">
        <v>10</v>
      </c>
      <c r="G14" s="236">
        <v>9</v>
      </c>
      <c r="H14" s="515" t="s">
        <v>120</v>
      </c>
      <c r="I14" s="515"/>
      <c r="J14" s="515"/>
      <c r="K14" s="515"/>
      <c r="L14" s="515"/>
      <c r="M14" s="239">
        <f t="array" ref="M14">[1]!IEPtransportation</f>
        <v>0</v>
      </c>
      <c r="N14" s="20"/>
      <c r="O14" s="210">
        <v>9</v>
      </c>
      <c r="R14" s="220"/>
      <c r="S14" s="220"/>
    </row>
    <row r="15" spans="1:19" ht="12.75" customHeight="1">
      <c r="A15" s="234">
        <v>11</v>
      </c>
      <c r="B15" s="117" t="s">
        <v>121</v>
      </c>
      <c r="C15" s="117"/>
      <c r="D15" s="235">
        <f>[1]!FP1250AEA</f>
        <v>0</v>
      </c>
      <c r="E15" s="19"/>
      <c r="F15" s="210">
        <v>11</v>
      </c>
      <c r="H15" s="515"/>
      <c r="I15" s="515"/>
      <c r="J15" s="515"/>
      <c r="K15" s="515"/>
      <c r="L15" s="515"/>
      <c r="N15" s="220"/>
      <c r="O15" s="210"/>
      <c r="R15" s="220"/>
      <c r="S15" s="220"/>
    </row>
    <row r="16" spans="1:19" ht="12" customHeight="1">
      <c r="A16" s="234">
        <v>12</v>
      </c>
      <c r="B16" s="117" t="s">
        <v>122</v>
      </c>
      <c r="C16" s="117"/>
      <c r="D16" s="235">
        <f>[1]!FP12601270VocEd</f>
        <v>0</v>
      </c>
      <c r="E16" s="19"/>
      <c r="F16" s="210">
        <v>12</v>
      </c>
      <c r="G16" s="236"/>
      <c r="H16" s="117"/>
      <c r="I16" s="117"/>
      <c r="J16" s="117"/>
      <c r="K16" s="117"/>
      <c r="M16" s="240"/>
      <c r="N16" s="240"/>
      <c r="O16" s="210"/>
      <c r="R16" s="220"/>
      <c r="S16" s="220"/>
    </row>
    <row r="17" spans="1:19" ht="12" customHeight="1">
      <c r="A17" s="234">
        <v>13</v>
      </c>
      <c r="B17" s="117" t="s">
        <v>123</v>
      </c>
      <c r="C17" s="117"/>
      <c r="D17" s="235">
        <f>[1]!FP1280TitleX</f>
        <v>0</v>
      </c>
      <c r="E17" s="19"/>
      <c r="F17" s="210">
        <v>13</v>
      </c>
      <c r="G17" s="236"/>
      <c r="H17" s="232" t="s">
        <v>124</v>
      </c>
      <c r="I17" s="233"/>
      <c r="J17" s="233"/>
      <c r="K17" s="233"/>
      <c r="L17" s="233"/>
      <c r="M17" s="240"/>
      <c r="N17" s="240"/>
      <c r="O17" s="210"/>
      <c r="R17" s="220"/>
      <c r="S17" s="220"/>
    </row>
    <row r="18" spans="1:19" ht="12" customHeight="1">
      <c r="A18" s="234">
        <v>14</v>
      </c>
      <c r="B18" s="117" t="s">
        <v>125</v>
      </c>
      <c r="C18" s="117"/>
      <c r="D18" s="235">
        <f>[1]!FP1290Medicaid</f>
        <v>0</v>
      </c>
      <c r="E18" s="19"/>
      <c r="F18" s="210">
        <v>14</v>
      </c>
      <c r="G18" s="236"/>
      <c r="H18" s="392" t="s">
        <v>126</v>
      </c>
      <c r="M18" s="241"/>
      <c r="N18" s="241"/>
      <c r="R18" s="220"/>
      <c r="S18" s="220"/>
    </row>
    <row r="19" spans="1:19" ht="12" customHeight="1">
      <c r="A19" s="234">
        <v>15</v>
      </c>
      <c r="B19" s="117" t="s">
        <v>127</v>
      </c>
      <c r="C19" s="117"/>
      <c r="D19" s="239">
        <f>[1]!FP1300Charter</f>
        <v>0</v>
      </c>
      <c r="E19" s="20"/>
      <c r="F19" s="210">
        <v>15</v>
      </c>
      <c r="G19" s="236"/>
      <c r="H19" s="117"/>
      <c r="I19" s="117"/>
      <c r="J19" s="117"/>
      <c r="K19" s="117"/>
      <c r="M19" s="514" t="s">
        <v>478</v>
      </c>
      <c r="N19" s="514" t="s">
        <v>473</v>
      </c>
      <c r="R19" s="220"/>
      <c r="S19" s="220"/>
    </row>
    <row r="20" spans="1:19" ht="12" customHeight="1">
      <c r="A20" s="234">
        <v>16</v>
      </c>
      <c r="B20" s="117" t="s">
        <v>128</v>
      </c>
      <c r="C20" s="117"/>
      <c r="D20" s="242">
        <f>[1]!FP13__ImpactAid</f>
        <v>0</v>
      </c>
      <c r="E20" s="24"/>
      <c r="F20" s="210">
        <v>16</v>
      </c>
      <c r="G20" s="236"/>
      <c r="H20" s="117"/>
      <c r="I20" s="117"/>
      <c r="J20" s="117"/>
      <c r="K20" s="117"/>
      <c r="M20" s="514"/>
      <c r="N20" s="514"/>
      <c r="R20" s="220"/>
      <c r="S20" s="220"/>
    </row>
    <row r="21" spans="1:19" ht="12" customHeight="1" thickBot="1">
      <c r="A21" s="234">
        <v>17</v>
      </c>
      <c r="B21" s="243" t="s">
        <v>129</v>
      </c>
      <c r="C21" s="237"/>
      <c r="D21" s="244">
        <f>[1]!FP13101399Other</f>
        <v>0</v>
      </c>
      <c r="E21" s="21"/>
      <c r="F21" s="210">
        <v>17</v>
      </c>
      <c r="G21" s="234" t="s">
        <v>5</v>
      </c>
      <c r="H21" s="392" t="s">
        <v>130</v>
      </c>
      <c r="I21" s="392"/>
      <c r="J21" s="117"/>
      <c r="K21" s="117"/>
      <c r="M21" s="239">
        <f>[1]!IIPTeacherCompensationIncreases</f>
        <v>0</v>
      </c>
      <c r="N21" s="20"/>
      <c r="O21" s="234" t="s">
        <v>5</v>
      </c>
      <c r="R21" s="220"/>
      <c r="S21" s="220"/>
    </row>
    <row r="22" spans="1:19" ht="12" customHeight="1" thickBot="1">
      <c r="A22" s="234">
        <v>18</v>
      </c>
      <c r="B22" s="117" t="s">
        <v>131</v>
      </c>
      <c r="C22" s="117"/>
      <c r="D22" s="245">
        <f>SUM(D5:D21)</f>
        <v>117814</v>
      </c>
      <c r="E22" s="245">
        <f>SUM(E5:E21)</f>
        <v>119735</v>
      </c>
      <c r="F22" s="210">
        <v>18</v>
      </c>
      <c r="G22" s="234" t="s">
        <v>8</v>
      </c>
      <c r="H22" s="117" t="s">
        <v>132</v>
      </c>
      <c r="I22" s="117"/>
      <c r="J22" s="246"/>
      <c r="M22" s="239">
        <f>[1]!IIPClassSizeReduction</f>
        <v>0</v>
      </c>
      <c r="N22" s="20"/>
      <c r="O22" s="234" t="s">
        <v>8</v>
      </c>
      <c r="R22" s="220"/>
      <c r="S22" s="220"/>
    </row>
    <row r="23" spans="1:19" ht="12.75" customHeight="1" thickTop="1">
      <c r="A23" s="247" t="s">
        <v>133</v>
      </c>
      <c r="B23" s="117"/>
      <c r="C23" s="117"/>
      <c r="D23" s="198"/>
      <c r="E23" s="248"/>
      <c r="F23" s="210"/>
      <c r="G23" s="234" t="s">
        <v>134</v>
      </c>
      <c r="H23" s="237" t="s">
        <v>135</v>
      </c>
      <c r="I23" s="237"/>
      <c r="J23" s="238"/>
      <c r="K23" s="249"/>
      <c r="M23" s="239">
        <f>[1]!IIPDropoutPreventionPrograms</f>
        <v>0</v>
      </c>
      <c r="N23" s="20"/>
      <c r="O23" s="234" t="s">
        <v>134</v>
      </c>
      <c r="R23" s="220"/>
      <c r="S23" s="220"/>
    </row>
    <row r="24" spans="1:19" ht="12" customHeight="1">
      <c r="A24" s="234">
        <v>19</v>
      </c>
      <c r="B24" s="117" t="s">
        <v>136</v>
      </c>
      <c r="C24" s="117"/>
      <c r="D24" s="206">
        <f>[1]!SP1400VocEd</f>
        <v>0</v>
      </c>
      <c r="E24" s="7"/>
      <c r="F24" s="210">
        <v>19</v>
      </c>
      <c r="G24" s="234" t="s">
        <v>137</v>
      </c>
      <c r="H24" s="237" t="s">
        <v>138</v>
      </c>
      <c r="I24" s="237"/>
      <c r="J24" s="238"/>
      <c r="K24" s="249"/>
      <c r="M24" s="239">
        <f>[1]!IIPInstructionalImprovementPrograms</f>
        <v>5520</v>
      </c>
      <c r="N24" s="20">
        <v>12200</v>
      </c>
      <c r="O24" s="234" t="s">
        <v>137</v>
      </c>
      <c r="R24" s="220"/>
      <c r="S24" s="220"/>
    </row>
    <row r="25" spans="1:19" ht="12" customHeight="1" thickBot="1">
      <c r="A25" s="234">
        <v>20</v>
      </c>
      <c r="B25" s="117" t="s">
        <v>139</v>
      </c>
      <c r="C25" s="117"/>
      <c r="D25" s="235">
        <f>[1]!SP1410EarlyChildhoodBlockGrant</f>
        <v>0</v>
      </c>
      <c r="E25" s="19"/>
      <c r="F25" s="210">
        <v>20</v>
      </c>
      <c r="G25" s="234" t="s">
        <v>140</v>
      </c>
      <c r="H25" s="392" t="s">
        <v>141</v>
      </c>
      <c r="I25" s="392"/>
      <c r="J25" s="117"/>
      <c r="K25" s="117"/>
      <c r="M25" s="245">
        <f>SUM(M21:M24)</f>
        <v>5520</v>
      </c>
      <c r="N25" s="245">
        <f>SUM(N21:N24)</f>
        <v>12200</v>
      </c>
      <c r="O25" s="234" t="s">
        <v>140</v>
      </c>
      <c r="R25" s="220"/>
      <c r="S25" s="220"/>
    </row>
    <row r="26" spans="1:19" ht="12" customHeight="1" thickTop="1">
      <c r="A26" s="234">
        <v>21</v>
      </c>
      <c r="B26" s="117" t="s">
        <v>142</v>
      </c>
      <c r="C26" s="117"/>
      <c r="D26" s="235">
        <f>[1]!FP1420ExtendedSchool</f>
        <v>0</v>
      </c>
      <c r="E26" s="19"/>
      <c r="F26" s="210">
        <v>21</v>
      </c>
      <c r="K26" s="246"/>
      <c r="R26" s="220"/>
      <c r="S26" s="220"/>
    </row>
    <row r="27" spans="1:19" ht="12" customHeight="1">
      <c r="A27" s="234">
        <v>22</v>
      </c>
      <c r="B27" s="117" t="s">
        <v>143</v>
      </c>
      <c r="C27" s="117"/>
      <c r="D27" s="235">
        <f>[1]!SP1425AdultBasicEd</f>
        <v>0</v>
      </c>
      <c r="E27" s="19"/>
      <c r="F27" s="210">
        <v>22</v>
      </c>
      <c r="H27" s="229" t="s">
        <v>144</v>
      </c>
      <c r="I27" s="128"/>
      <c r="J27" s="128"/>
      <c r="L27" s="232" t="s">
        <v>145</v>
      </c>
      <c r="M27" s="250"/>
      <c r="N27" s="250"/>
      <c r="O27" s="210"/>
      <c r="R27" s="220"/>
      <c r="S27" s="220"/>
    </row>
    <row r="28" spans="1:19" ht="12" customHeight="1">
      <c r="A28" s="234">
        <v>23</v>
      </c>
      <c r="B28" s="117" t="s">
        <v>146</v>
      </c>
      <c r="C28" s="117"/>
      <c r="D28" s="235">
        <f>[1]!SP1430ChemicalAbuse</f>
        <v>0</v>
      </c>
      <c r="E28" s="19"/>
      <c r="F28" s="210">
        <v>23</v>
      </c>
      <c r="H28" s="229" t="s">
        <v>147</v>
      </c>
      <c r="I28" s="128"/>
      <c r="J28" s="128"/>
      <c r="L28" s="128" t="s">
        <v>148</v>
      </c>
      <c r="M28" s="128"/>
      <c r="N28" s="128"/>
    </row>
    <row r="29" spans="1:19" ht="12" customHeight="1">
      <c r="A29" s="234">
        <v>24</v>
      </c>
      <c r="B29" s="117" t="s">
        <v>149</v>
      </c>
      <c r="C29" s="117"/>
      <c r="D29" s="235">
        <f>[1]!SP1435AcademicContests</f>
        <v>0</v>
      </c>
      <c r="E29" s="19"/>
      <c r="F29" s="210">
        <v>24</v>
      </c>
      <c r="H29" t="s">
        <v>150</v>
      </c>
      <c r="I29" s="406" t="s">
        <v>151</v>
      </c>
      <c r="J29" s="14"/>
      <c r="L29" s="3" t="s">
        <v>152</v>
      </c>
      <c r="N29" s="8">
        <v>25000</v>
      </c>
    </row>
    <row r="30" spans="1:19" ht="12" customHeight="1">
      <c r="A30" s="234">
        <v>25</v>
      </c>
      <c r="B30" s="117" t="s">
        <v>153</v>
      </c>
      <c r="C30" s="117"/>
      <c r="D30" s="235">
        <f>[1]!SP1450GiftedEd</f>
        <v>0</v>
      </c>
      <c r="E30" s="19"/>
      <c r="F30" s="210">
        <v>25</v>
      </c>
      <c r="G30" s="390"/>
      <c r="H30" t="s">
        <v>154</v>
      </c>
      <c r="I30" s="406" t="s">
        <v>151</v>
      </c>
      <c r="J30" s="25"/>
      <c r="K30" s="117"/>
      <c r="L30" s="3" t="s">
        <v>155</v>
      </c>
      <c r="N30" s="8"/>
      <c r="O30" s="94"/>
    </row>
    <row r="31" spans="1:19" ht="12" customHeight="1">
      <c r="A31" s="234">
        <v>26</v>
      </c>
      <c r="B31" s="237" t="s">
        <v>156</v>
      </c>
      <c r="C31" s="237"/>
      <c r="D31" s="235">
        <f>'[1]Page 2'!$E$31</f>
        <v>0</v>
      </c>
      <c r="E31" s="19"/>
      <c r="F31" s="210">
        <v>26</v>
      </c>
      <c r="I31" s="406"/>
      <c r="J31" s="251"/>
      <c r="L31" s="3"/>
      <c r="N31" s="220"/>
      <c r="O31" s="94"/>
    </row>
    <row r="32" spans="1:19" ht="12" customHeight="1">
      <c r="A32" s="234">
        <v>27</v>
      </c>
      <c r="B32" s="117" t="s">
        <v>157</v>
      </c>
      <c r="C32" s="117"/>
      <c r="D32" s="235">
        <f>[1]!SP1460EnvironmentalSpecialPlate</f>
        <v>0</v>
      </c>
      <c r="E32" s="19"/>
      <c r="F32" s="210">
        <v>27</v>
      </c>
      <c r="H32" s="252" t="s">
        <v>158</v>
      </c>
      <c r="I32" s="253"/>
      <c r="J32" s="254"/>
      <c r="K32" s="255"/>
      <c r="L32" s="255"/>
      <c r="M32" s="255"/>
      <c r="O32" s="94"/>
    </row>
    <row r="33" spans="1:15" ht="12" customHeight="1">
      <c r="A33" s="234">
        <v>28</v>
      </c>
      <c r="B33" s="117" t="s">
        <v>159</v>
      </c>
      <c r="C33" s="117"/>
      <c r="D33" s="235">
        <f>[1]!SP1465CharterSchool</f>
        <v>0</v>
      </c>
      <c r="E33" s="19"/>
      <c r="F33" s="210">
        <v>28</v>
      </c>
      <c r="H33" s="252" t="s">
        <v>160</v>
      </c>
      <c r="I33" s="253"/>
      <c r="J33" s="254"/>
      <c r="K33" s="255"/>
      <c r="L33" s="255"/>
      <c r="M33" s="255"/>
    </row>
    <row r="34" spans="1:15" ht="12" customHeight="1">
      <c r="A34" s="234">
        <v>29</v>
      </c>
      <c r="B34" s="243" t="s">
        <v>161</v>
      </c>
      <c r="C34" s="256"/>
      <c r="D34" s="235">
        <f>'[1]Page 2'!$E$34</f>
        <v>0</v>
      </c>
      <c r="E34" s="19"/>
      <c r="F34" s="210">
        <v>29</v>
      </c>
      <c r="H34" s="117" t="s">
        <v>162</v>
      </c>
      <c r="K34" s="128"/>
      <c r="M34" s="257"/>
    </row>
    <row r="35" spans="1:15" ht="12" customHeight="1" thickBot="1">
      <c r="A35" s="234">
        <v>30</v>
      </c>
      <c r="B35" s="243" t="s">
        <v>163</v>
      </c>
      <c r="C35" s="243"/>
      <c r="D35" s="235">
        <f>[1]!SP14701499Other</f>
        <v>5704</v>
      </c>
      <c r="E35" s="19"/>
      <c r="F35" s="210">
        <v>30</v>
      </c>
      <c r="H35" s="117" t="s">
        <v>164</v>
      </c>
      <c r="M35" s="257"/>
      <c r="N35" s="8">
        <v>117966</v>
      </c>
    </row>
    <row r="36" spans="1:15" ht="12" customHeight="1" thickBot="1">
      <c r="A36" s="234">
        <v>31</v>
      </c>
      <c r="B36" s="117" t="s">
        <v>165</v>
      </c>
      <c r="C36" s="117"/>
      <c r="D36" s="258">
        <f>SUM(D24:D35)</f>
        <v>5704</v>
      </c>
      <c r="E36" s="258">
        <f>SUM(E24:E35)</f>
        <v>0</v>
      </c>
      <c r="F36" s="210">
        <v>31</v>
      </c>
      <c r="H36" s="117"/>
      <c r="K36" s="128"/>
      <c r="O36" s="234"/>
    </row>
    <row r="37" spans="1:15" ht="12" customHeight="1" thickTop="1" thickBot="1">
      <c r="A37" s="234">
        <v>32</v>
      </c>
      <c r="B37" s="117" t="s">
        <v>166</v>
      </c>
      <c r="C37" s="117"/>
      <c r="D37" s="245">
        <f>D22+D36</f>
        <v>123518</v>
      </c>
      <c r="E37" s="245">
        <f>E22+E36</f>
        <v>119735</v>
      </c>
      <c r="F37" s="210">
        <v>32</v>
      </c>
      <c r="G37" s="191"/>
      <c r="H37" s="259" t="s">
        <v>167</v>
      </c>
      <c r="N37" s="260"/>
      <c r="O37" s="234"/>
    </row>
    <row r="38" spans="1:15" ht="12" customHeight="1" thickTop="1">
      <c r="A38" s="390"/>
      <c r="F38" s="210"/>
      <c r="G38" s="261"/>
      <c r="H38" s="117" t="s">
        <v>168</v>
      </c>
      <c r="I38" s="229"/>
      <c r="J38" s="262"/>
      <c r="K38" s="229"/>
      <c r="L38" s="262"/>
      <c r="M38" s="229"/>
      <c r="N38" s="8">
        <v>0</v>
      </c>
      <c r="O38" s="234"/>
    </row>
    <row r="39" spans="1:15" ht="24" customHeight="1">
      <c r="B39" s="263" t="s">
        <v>169</v>
      </c>
      <c r="C39" s="232"/>
      <c r="D39" s="452" t="s">
        <v>474</v>
      </c>
      <c r="E39" s="452" t="s">
        <v>475</v>
      </c>
      <c r="F39" s="210"/>
      <c r="G39" s="261"/>
      <c r="H39" s="117" t="s">
        <v>170</v>
      </c>
      <c r="I39" s="117"/>
      <c r="J39" s="117"/>
      <c r="K39" s="117"/>
      <c r="L39" s="117"/>
      <c r="M39" s="117"/>
      <c r="N39" s="8">
        <v>0</v>
      </c>
      <c r="O39" s="234"/>
    </row>
    <row r="40" spans="1:15">
      <c r="A40" s="236">
        <v>1</v>
      </c>
      <c r="B40" t="s">
        <v>171</v>
      </c>
      <c r="D40" s="235">
        <f t="array" ref="D40">[1]!CA0181IntangibleAssets</f>
        <v>0</v>
      </c>
      <c r="E40" s="8">
        <v>0</v>
      </c>
      <c r="F40" s="210">
        <v>1</v>
      </c>
      <c r="G40" s="234"/>
      <c r="H40" s="246"/>
      <c r="I40" s="246"/>
      <c r="J40" s="246"/>
      <c r="K40" s="246"/>
      <c r="L40" s="246"/>
      <c r="M40" s="246"/>
      <c r="N40" s="220"/>
      <c r="O40" s="234"/>
    </row>
    <row r="41" spans="1:15" ht="12" customHeight="1">
      <c r="A41" s="236">
        <v>2</v>
      </c>
      <c r="B41" s="117" t="s">
        <v>172</v>
      </c>
      <c r="D41" s="206">
        <f>[1]!CA0191Land</f>
        <v>0</v>
      </c>
      <c r="E41" s="8">
        <v>0</v>
      </c>
      <c r="F41" s="210">
        <v>2</v>
      </c>
      <c r="G41" s="234"/>
    </row>
    <row r="42" spans="1:15" ht="12" customHeight="1">
      <c r="A42" s="236">
        <v>3</v>
      </c>
      <c r="B42" s="117" t="s">
        <v>173</v>
      </c>
      <c r="D42" s="206">
        <f>[1]!CA0192SiteImprovements</f>
        <v>0</v>
      </c>
      <c r="E42" s="7">
        <v>0</v>
      </c>
      <c r="F42" s="210">
        <v>3</v>
      </c>
      <c r="G42" s="261"/>
    </row>
    <row r="43" spans="1:15" ht="12" customHeight="1">
      <c r="A43" s="236">
        <v>4</v>
      </c>
      <c r="B43" s="117" t="s">
        <v>174</v>
      </c>
      <c r="D43" s="206">
        <f>[1]!CA0194Buildings</f>
        <v>0</v>
      </c>
      <c r="E43" s="7">
        <v>0</v>
      </c>
      <c r="F43" s="210">
        <v>4</v>
      </c>
      <c r="G43" s="234"/>
    </row>
    <row r="44" spans="1:15" ht="12" customHeight="1">
      <c r="A44" s="236">
        <v>5</v>
      </c>
      <c r="B44" s="117" t="s">
        <v>175</v>
      </c>
      <c r="D44" s="206">
        <f>[1]!CA0196Equipment</f>
        <v>0</v>
      </c>
      <c r="E44" s="7">
        <v>0</v>
      </c>
      <c r="F44" s="210">
        <v>5</v>
      </c>
      <c r="G44" s="234"/>
    </row>
    <row r="45" spans="1:15" ht="12" customHeight="1" thickBot="1">
      <c r="A45" s="390">
        <v>6</v>
      </c>
      <c r="B45" s="117" t="s">
        <v>176</v>
      </c>
      <c r="D45" s="265">
        <f>[1]!CA0198CIP</f>
        <v>0</v>
      </c>
      <c r="E45" s="15">
        <v>0</v>
      </c>
      <c r="F45" s="210">
        <v>6</v>
      </c>
      <c r="G45" s="234"/>
    </row>
    <row r="46" spans="1:15" ht="12" customHeight="1" thickBot="1">
      <c r="A46" s="266">
        <v>7</v>
      </c>
      <c r="B46" s="117" t="s">
        <v>177</v>
      </c>
      <c r="D46" s="245">
        <f>SUM(D40:D45)</f>
        <v>0</v>
      </c>
      <c r="E46" s="245">
        <f>SUM(E40:E45)</f>
        <v>0</v>
      </c>
      <c r="F46" s="210">
        <v>7</v>
      </c>
      <c r="G46" s="264"/>
    </row>
    <row r="47" spans="1:15" ht="13.5" customHeight="1" thickTop="1">
      <c r="G47" s="264"/>
      <c r="N47" s="240"/>
    </row>
    <row r="48" spans="1:15" ht="13.5" customHeight="1">
      <c r="A48" s="266">
        <v>8</v>
      </c>
      <c r="B48" s="510" t="s">
        <v>178</v>
      </c>
      <c r="C48" s="511"/>
      <c r="D48" s="213">
        <f>[1]!CAK3Reading</f>
        <v>0</v>
      </c>
      <c r="E48" s="8">
        <v>0</v>
      </c>
      <c r="F48" s="210">
        <v>8</v>
      </c>
    </row>
    <row r="49" spans="9:9" ht="27" customHeight="1"/>
    <row r="50" spans="9:9" ht="12.75" customHeight="1">
      <c r="I50" s="3"/>
    </row>
  </sheetData>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N19"/>
  <sheetViews>
    <sheetView showGridLines="0" workbookViewId="0">
      <selection activeCell="H33" sqref="H33:H34"/>
    </sheetView>
  </sheetViews>
  <sheetFormatPr defaultColWidth="9" defaultRowHeight="12.75" customHeight="1"/>
  <cols>
    <col min="1" max="2" width="1.5703125" customWidth="1"/>
    <col min="3" max="3" width="14.5703125" customWidth="1"/>
    <col min="4" max="4" width="52.28515625" customWidth="1"/>
    <col min="5" max="5" width="3.5703125" customWidth="1"/>
    <col min="6" max="12" width="15.28515625" customWidth="1"/>
    <col min="13" max="13" width="3.5703125" customWidth="1"/>
    <col min="14" max="15" width="13.5703125" customWidth="1"/>
    <col min="16" max="16" width="4" customWidth="1"/>
    <col min="17" max="17" width="9" customWidth="1"/>
  </cols>
  <sheetData>
    <row r="1" spans="1:14">
      <c r="A1" t="s">
        <v>0</v>
      </c>
      <c r="D1" s="395" t="str">
        <f>CharterName</f>
        <v>George Gervin Youth Center, INC</v>
      </c>
      <c r="E1" s="3"/>
      <c r="F1" s="406" t="s">
        <v>38</v>
      </c>
      <c r="G1" s="391" t="str">
        <f>Cover!M1</f>
        <v>Maricopa</v>
      </c>
      <c r="H1" s="2"/>
      <c r="I1" s="2"/>
      <c r="J1" s="2"/>
      <c r="K1" s="406" t="s">
        <v>2</v>
      </c>
      <c r="L1" s="396" t="str">
        <f>CTD</f>
        <v>078585000</v>
      </c>
      <c r="M1" s="2"/>
    </row>
    <row r="2" spans="1:14" ht="12.75" customHeight="1">
      <c r="A2" s="128"/>
      <c r="B2" s="128"/>
      <c r="C2" s="128"/>
      <c r="D2" s="128"/>
      <c r="E2" s="128"/>
      <c r="F2" s="128"/>
      <c r="G2" s="128"/>
      <c r="H2" s="128"/>
      <c r="I2" s="128"/>
      <c r="J2" s="128"/>
      <c r="K2" s="128"/>
    </row>
    <row r="3" spans="1:14">
      <c r="A3" s="128"/>
      <c r="B3" s="128"/>
      <c r="C3" s="128"/>
      <c r="D3" s="448" t="s">
        <v>460</v>
      </c>
      <c r="E3" s="128"/>
      <c r="F3" s="128"/>
      <c r="G3" s="128"/>
      <c r="H3" s="128"/>
      <c r="I3" s="128"/>
      <c r="J3" s="128"/>
      <c r="K3" s="128"/>
    </row>
    <row r="4" spans="1:14">
      <c r="A4" s="267"/>
      <c r="B4" s="268"/>
      <c r="C4" s="268"/>
      <c r="D4" s="519"/>
      <c r="E4" s="269"/>
      <c r="F4" s="270"/>
      <c r="G4" s="197" t="s">
        <v>179</v>
      </c>
      <c r="H4" s="271" t="s">
        <v>51</v>
      </c>
      <c r="I4" s="272"/>
      <c r="J4" s="517" t="s">
        <v>52</v>
      </c>
      <c r="K4" s="518"/>
      <c r="L4" s="272" t="s">
        <v>58</v>
      </c>
    </row>
    <row r="5" spans="1:14" ht="12.75" customHeight="1">
      <c r="A5" s="273" t="s">
        <v>53</v>
      </c>
      <c r="D5" s="520"/>
      <c r="E5" s="91"/>
      <c r="F5" s="194" t="s">
        <v>59</v>
      </c>
      <c r="G5" s="107" t="s">
        <v>60</v>
      </c>
      <c r="H5" s="274" t="s">
        <v>55</v>
      </c>
      <c r="I5" s="194" t="s">
        <v>62</v>
      </c>
      <c r="J5" s="194" t="s">
        <v>180</v>
      </c>
      <c r="K5" s="194" t="s">
        <v>181</v>
      </c>
      <c r="L5" s="194" t="s">
        <v>65</v>
      </c>
    </row>
    <row r="6" spans="1:14" ht="25.5">
      <c r="A6" s="401"/>
      <c r="B6" s="402"/>
      <c r="C6" s="402"/>
      <c r="D6" s="402"/>
      <c r="E6" s="403"/>
      <c r="F6" s="201">
        <v>6100</v>
      </c>
      <c r="G6" s="275">
        <v>6200</v>
      </c>
      <c r="H6" s="274" t="s">
        <v>182</v>
      </c>
      <c r="I6" s="194">
        <v>6600</v>
      </c>
      <c r="J6" s="194">
        <v>2026</v>
      </c>
      <c r="K6" s="194">
        <v>2027</v>
      </c>
      <c r="L6" s="194" t="s">
        <v>67</v>
      </c>
    </row>
    <row r="7" spans="1:14" ht="12.75" customHeight="1">
      <c r="A7" s="276" t="s">
        <v>183</v>
      </c>
      <c r="B7" s="277"/>
      <c r="C7" s="277"/>
      <c r="D7" s="277"/>
      <c r="F7" s="202"/>
      <c r="G7" s="203"/>
      <c r="H7" s="202"/>
      <c r="I7" s="202"/>
      <c r="J7" s="278"/>
      <c r="K7" s="203"/>
      <c r="L7" s="205"/>
      <c r="M7" s="279"/>
      <c r="N7" s="280"/>
    </row>
    <row r="8" spans="1:14">
      <c r="A8" s="53"/>
      <c r="C8" t="s">
        <v>69</v>
      </c>
      <c r="D8" s="193"/>
      <c r="E8" s="390">
        <v>1</v>
      </c>
      <c r="F8" s="7">
        <v>148750</v>
      </c>
      <c r="G8" s="22">
        <v>26250</v>
      </c>
      <c r="H8" s="7"/>
      <c r="I8" s="7"/>
      <c r="J8" s="215">
        <f t="array" ref="J8">[1]!_CSP1000</f>
        <v>94530</v>
      </c>
      <c r="K8" s="207">
        <f t="shared" ref="K8:K12" si="0">SUM(F8:I8)</f>
        <v>175000</v>
      </c>
      <c r="L8" s="211">
        <f t="shared" ref="L8:L13" si="1">IF(J8=0," ",(K8-J8)/J8)</f>
        <v>0.85099999999999998</v>
      </c>
      <c r="M8" s="210">
        <v>1</v>
      </c>
      <c r="N8" s="280"/>
    </row>
    <row r="9" spans="1:14" ht="12.75" customHeight="1">
      <c r="A9" s="53"/>
      <c r="C9" t="s">
        <v>184</v>
      </c>
      <c r="E9" s="390">
        <v>2</v>
      </c>
      <c r="F9" s="7"/>
      <c r="G9" s="7"/>
      <c r="H9" s="7"/>
      <c r="I9" s="7"/>
      <c r="J9" s="206">
        <f t="array" ref="J9">[1]!_CSP2100</f>
        <v>70407</v>
      </c>
      <c r="K9" s="207">
        <f t="shared" si="0"/>
        <v>0</v>
      </c>
      <c r="L9" s="211">
        <f t="shared" si="1"/>
        <v>-1</v>
      </c>
      <c r="M9" s="210">
        <v>2</v>
      </c>
      <c r="N9" s="280"/>
    </row>
    <row r="10" spans="1:14">
      <c r="A10" s="53"/>
      <c r="C10" t="s">
        <v>185</v>
      </c>
      <c r="E10" s="390">
        <v>3</v>
      </c>
      <c r="F10" s="7"/>
      <c r="G10" s="7"/>
      <c r="H10" s="7"/>
      <c r="I10" s="7"/>
      <c r="J10" s="206">
        <f t="array" ref="J10">[1]!_CSP2200</f>
        <v>0</v>
      </c>
      <c r="K10" s="207">
        <f t="shared" si="0"/>
        <v>0</v>
      </c>
      <c r="L10" s="211" t="str">
        <f t="shared" si="1"/>
        <v xml:space="preserve"> </v>
      </c>
      <c r="M10" s="210">
        <v>3</v>
      </c>
      <c r="N10" s="280"/>
    </row>
    <row r="11" spans="1:14">
      <c r="A11" s="53"/>
      <c r="C11" s="243" t="s">
        <v>186</v>
      </c>
      <c r="D11" s="243"/>
      <c r="E11" s="390">
        <v>4</v>
      </c>
      <c r="F11" s="225"/>
      <c r="G11" s="225"/>
      <c r="H11" s="7"/>
      <c r="I11" s="225"/>
      <c r="J11" s="206">
        <f t="array" ref="J11">[1]!_CSP2300</f>
        <v>0</v>
      </c>
      <c r="K11" s="207">
        <f t="shared" si="0"/>
        <v>0</v>
      </c>
      <c r="L11" s="219" t="str">
        <f t="shared" si="1"/>
        <v xml:space="preserve"> </v>
      </c>
      <c r="M11" s="210">
        <v>4</v>
      </c>
    </row>
    <row r="12" spans="1:14" ht="12.75" customHeight="1">
      <c r="A12" s="53"/>
      <c r="C12" t="s">
        <v>187</v>
      </c>
      <c r="E12" s="390">
        <v>5</v>
      </c>
      <c r="F12" s="8"/>
      <c r="G12" s="8"/>
      <c r="H12" s="7"/>
      <c r="I12" s="225"/>
      <c r="J12" s="206">
        <f t="array" ref="J12">[1]!_CSP3300</f>
        <v>0</v>
      </c>
      <c r="K12" s="207">
        <f t="shared" si="0"/>
        <v>0</v>
      </c>
      <c r="L12" s="211" t="str">
        <f t="shared" si="1"/>
        <v xml:space="preserve"> </v>
      </c>
      <c r="M12" s="210">
        <v>5</v>
      </c>
      <c r="N12" s="280"/>
    </row>
    <row r="13" spans="1:14" ht="12.75" customHeight="1">
      <c r="A13" s="75" t="s">
        <v>188</v>
      </c>
      <c r="B13" s="226"/>
      <c r="C13" s="226"/>
      <c r="D13" s="226"/>
      <c r="E13" s="281">
        <v>6</v>
      </c>
      <c r="F13" s="282">
        <f>SUM(F8:F12)</f>
        <v>148750</v>
      </c>
      <c r="G13" s="282">
        <f>SUM(G8:G12)</f>
        <v>26250</v>
      </c>
      <c r="H13" s="282">
        <f>SUM(H8:H12)</f>
        <v>0</v>
      </c>
      <c r="I13" s="282">
        <f>SUM(I8:I12)</f>
        <v>0</v>
      </c>
      <c r="J13" s="283">
        <f t="array" ref="J13">[1]!CSPTotal</f>
        <v>164937</v>
      </c>
      <c r="K13" s="282">
        <f>SUM(F13:I13)</f>
        <v>175000</v>
      </c>
      <c r="L13" s="211">
        <f t="shared" si="1"/>
        <v>6.0999999999999999E-2</v>
      </c>
      <c r="M13" s="210">
        <v>6</v>
      </c>
    </row>
    <row r="16" spans="1:14" ht="12.75" customHeight="1">
      <c r="A16" s="276" t="s">
        <v>189</v>
      </c>
      <c r="B16" s="284"/>
      <c r="C16" s="284"/>
      <c r="D16" s="284"/>
    </row>
    <row r="17" spans="3:6" ht="12.75" customHeight="1">
      <c r="C17" t="s">
        <v>190</v>
      </c>
      <c r="D17" s="191"/>
      <c r="F17" s="8">
        <v>0</v>
      </c>
    </row>
    <row r="18" spans="3:6" ht="12.75" customHeight="1">
      <c r="C18" t="s">
        <v>168</v>
      </c>
      <c r="D18" s="191"/>
      <c r="F18" s="7">
        <v>0</v>
      </c>
    </row>
    <row r="19" spans="3:6" ht="12.75" customHeight="1">
      <c r="C19" t="s">
        <v>170</v>
      </c>
      <c r="D19" s="191"/>
      <c r="F19" s="7">
        <v>0</v>
      </c>
    </row>
  </sheetData>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P43"/>
  <sheetViews>
    <sheetView showGridLines="0" topLeftCell="A22" workbookViewId="0">
      <selection activeCell="M56" sqref="M56"/>
    </sheetView>
  </sheetViews>
  <sheetFormatPr defaultColWidth="9.28515625" defaultRowHeight="12.75"/>
  <cols>
    <col min="1" max="2" width="1.5703125" customWidth="1"/>
    <col min="3" max="3" width="14.5703125" customWidth="1"/>
    <col min="4" max="4" width="27" customWidth="1"/>
    <col min="5" max="5" width="3.5703125" customWidth="1"/>
    <col min="6" max="7" width="7" customWidth="1"/>
    <col min="8" max="14" width="12.5703125" customWidth="1"/>
    <col min="15" max="15" width="11.5703125" customWidth="1"/>
    <col min="16" max="16" width="3.5703125" customWidth="1"/>
    <col min="17" max="17" width="7" customWidth="1"/>
  </cols>
  <sheetData>
    <row r="1" spans="1:16">
      <c r="A1" t="s">
        <v>191</v>
      </c>
      <c r="D1" s="506" t="str">
        <f>CharterName</f>
        <v>George Gervin Youth Center, INC</v>
      </c>
      <c r="E1" s="506"/>
      <c r="F1" s="506"/>
      <c r="G1" s="3"/>
      <c r="I1" s="406" t="s">
        <v>38</v>
      </c>
      <c r="J1" s="509" t="str">
        <f>Cover!M1</f>
        <v>Maricopa</v>
      </c>
      <c r="K1" s="509"/>
      <c r="M1" s="406" t="s">
        <v>2</v>
      </c>
      <c r="N1" s="507" t="str">
        <f>CTD</f>
        <v>078585000</v>
      </c>
      <c r="O1" s="507"/>
    </row>
    <row r="2" spans="1:16">
      <c r="A2" s="128"/>
      <c r="B2" s="128"/>
      <c r="C2" s="285"/>
      <c r="D2" s="128"/>
      <c r="E2" s="128"/>
      <c r="F2" s="128"/>
      <c r="G2" s="128"/>
      <c r="H2" s="128"/>
      <c r="I2" s="128"/>
      <c r="J2" s="128"/>
    </row>
    <row r="3" spans="1:16">
      <c r="A3" s="286"/>
      <c r="B3" s="287"/>
      <c r="C3" s="287"/>
      <c r="D3" s="519"/>
      <c r="E3" s="288"/>
      <c r="F3" s="289" t="s">
        <v>192</v>
      </c>
      <c r="G3" s="269"/>
      <c r="H3" s="205"/>
      <c r="I3" s="205"/>
      <c r="J3" s="272" t="s">
        <v>51</v>
      </c>
      <c r="K3" s="204"/>
      <c r="L3" s="204"/>
      <c r="M3" s="195" t="s">
        <v>52</v>
      </c>
      <c r="N3" s="196"/>
      <c r="O3" s="205"/>
    </row>
    <row r="4" spans="1:16">
      <c r="A4" s="516" t="s">
        <v>460</v>
      </c>
      <c r="B4" s="516"/>
      <c r="C4" s="516"/>
      <c r="D4" s="520"/>
      <c r="E4" s="91"/>
      <c r="F4" s="290" t="s">
        <v>193</v>
      </c>
      <c r="G4" s="291"/>
      <c r="H4" s="194"/>
      <c r="I4" s="194" t="s">
        <v>194</v>
      </c>
      <c r="J4" s="194" t="s">
        <v>55</v>
      </c>
      <c r="K4" s="198"/>
      <c r="L4" s="198"/>
      <c r="M4" s="198"/>
      <c r="N4" s="198"/>
      <c r="O4" s="194" t="s">
        <v>58</v>
      </c>
    </row>
    <row r="5" spans="1:16">
      <c r="A5" s="273" t="s">
        <v>53</v>
      </c>
      <c r="E5" s="91"/>
      <c r="F5" s="272" t="s">
        <v>56</v>
      </c>
      <c r="G5" s="272" t="s">
        <v>57</v>
      </c>
      <c r="H5" s="194" t="s">
        <v>59</v>
      </c>
      <c r="I5" s="194" t="s">
        <v>60</v>
      </c>
      <c r="J5" s="194" t="s">
        <v>61</v>
      </c>
      <c r="K5" s="194" t="s">
        <v>62</v>
      </c>
      <c r="L5" s="194" t="s">
        <v>63</v>
      </c>
      <c r="M5" s="194" t="s">
        <v>180</v>
      </c>
      <c r="N5" s="194" t="s">
        <v>181</v>
      </c>
      <c r="O5" s="194" t="s">
        <v>65</v>
      </c>
    </row>
    <row r="6" spans="1:16">
      <c r="A6" s="292"/>
      <c r="B6" s="402"/>
      <c r="C6" s="402"/>
      <c r="D6" s="402"/>
      <c r="E6" s="216"/>
      <c r="F6" s="194" t="s">
        <v>64</v>
      </c>
      <c r="G6" s="194" t="s">
        <v>64</v>
      </c>
      <c r="H6" s="201">
        <v>6100</v>
      </c>
      <c r="I6" s="201">
        <v>6200</v>
      </c>
      <c r="J6" s="201">
        <v>6500</v>
      </c>
      <c r="K6" s="201">
        <v>6600</v>
      </c>
      <c r="L6" s="201">
        <v>6800</v>
      </c>
      <c r="M6" s="194">
        <v>2026</v>
      </c>
      <c r="N6" s="194">
        <v>2027</v>
      </c>
      <c r="O6" s="194" t="s">
        <v>67</v>
      </c>
    </row>
    <row r="7" spans="1:16">
      <c r="A7" s="293" t="s">
        <v>195</v>
      </c>
      <c r="B7" s="294"/>
      <c r="C7" s="294"/>
      <c r="D7" s="294"/>
      <c r="E7" s="295"/>
      <c r="F7" s="296"/>
      <c r="G7" s="297"/>
      <c r="H7" s="202"/>
      <c r="I7" s="202"/>
      <c r="J7" s="202"/>
      <c r="K7" s="202"/>
      <c r="L7" s="203"/>
      <c r="M7" s="205"/>
      <c r="N7" s="205"/>
      <c r="O7" s="205"/>
    </row>
    <row r="8" spans="1:16">
      <c r="A8" s="53"/>
      <c r="B8" t="s">
        <v>196</v>
      </c>
      <c r="E8" s="390"/>
      <c r="F8" s="298"/>
      <c r="G8" s="299"/>
      <c r="H8" s="217"/>
      <c r="I8" s="217"/>
      <c r="J8" s="217"/>
      <c r="K8" s="217"/>
      <c r="L8" s="208"/>
      <c r="M8" s="217"/>
      <c r="N8" s="217"/>
      <c r="O8" s="209"/>
    </row>
    <row r="9" spans="1:16">
      <c r="A9" s="53"/>
      <c r="C9" t="s">
        <v>69</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70</v>
      </c>
      <c r="E10" s="390"/>
      <c r="F10" s="205"/>
      <c r="G10" s="297"/>
      <c r="H10" s="202"/>
      <c r="I10" s="202"/>
      <c r="J10" s="202"/>
      <c r="K10" s="202"/>
      <c r="L10" s="203"/>
      <c r="M10" s="205"/>
      <c r="N10" s="205"/>
      <c r="O10" s="205"/>
      <c r="P10" s="210"/>
    </row>
    <row r="11" spans="1:16">
      <c r="A11" s="53"/>
      <c r="C11" t="s">
        <v>197</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198</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199</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200</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201</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202</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203</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204</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205</v>
      </c>
      <c r="E19" s="390"/>
      <c r="F19" s="205"/>
      <c r="G19" s="297"/>
      <c r="H19" s="202"/>
      <c r="I19" s="202"/>
      <c r="J19" s="202"/>
      <c r="K19" s="202"/>
      <c r="L19" s="203"/>
      <c r="M19" s="205"/>
      <c r="N19" s="204"/>
      <c r="O19" s="205"/>
      <c r="P19" s="210"/>
    </row>
    <row r="20" spans="1:16">
      <c r="A20" s="53"/>
      <c r="C20" t="s">
        <v>70</v>
      </c>
      <c r="E20" s="390"/>
      <c r="F20" s="298"/>
      <c r="G20" s="299"/>
      <c r="H20" s="217"/>
      <c r="I20" s="217"/>
      <c r="J20" s="217"/>
      <c r="K20" s="217"/>
      <c r="L20" s="208"/>
      <c r="M20" s="217"/>
      <c r="N20" s="208"/>
      <c r="O20" s="209"/>
      <c r="P20" s="210"/>
    </row>
    <row r="21" spans="1:16">
      <c r="A21" s="53"/>
      <c r="C21" t="s">
        <v>206</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207</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c r="A24" s="286"/>
      <c r="B24" s="287"/>
      <c r="C24" s="287"/>
      <c r="D24" s="287"/>
      <c r="E24" s="288"/>
      <c r="F24" s="289" t="s">
        <v>192</v>
      </c>
      <c r="G24" s="269"/>
      <c r="H24" s="205"/>
      <c r="I24" s="205"/>
      <c r="J24" s="272" t="s">
        <v>51</v>
      </c>
      <c r="K24" s="204"/>
      <c r="L24" s="204"/>
      <c r="M24" s="195" t="s">
        <v>52</v>
      </c>
      <c r="N24" s="196"/>
      <c r="O24" s="205"/>
    </row>
    <row r="25" spans="1:16">
      <c r="A25" s="273"/>
      <c r="E25" s="91"/>
      <c r="F25" s="290" t="s">
        <v>193</v>
      </c>
      <c r="G25" s="291"/>
      <c r="H25" s="194"/>
      <c r="I25" s="194" t="s">
        <v>194</v>
      </c>
      <c r="J25" s="194" t="s">
        <v>55</v>
      </c>
      <c r="K25" s="198"/>
      <c r="L25" s="198"/>
      <c r="M25" s="198"/>
      <c r="N25" s="198"/>
      <c r="O25" s="194" t="s">
        <v>58</v>
      </c>
    </row>
    <row r="26" spans="1:16">
      <c r="A26" s="273" t="s">
        <v>53</v>
      </c>
      <c r="E26" s="91"/>
      <c r="F26" s="272" t="s">
        <v>56</v>
      </c>
      <c r="G26" s="272" t="s">
        <v>57</v>
      </c>
      <c r="H26" s="194" t="s">
        <v>59</v>
      </c>
      <c r="I26" s="194" t="s">
        <v>60</v>
      </c>
      <c r="J26" s="194" t="s">
        <v>61</v>
      </c>
      <c r="K26" s="194" t="s">
        <v>62</v>
      </c>
      <c r="L26" s="194" t="s">
        <v>63</v>
      </c>
      <c r="M26" s="194" t="s">
        <v>180</v>
      </c>
      <c r="N26" s="194" t="s">
        <v>181</v>
      </c>
      <c r="O26" s="194" t="s">
        <v>65</v>
      </c>
    </row>
    <row r="27" spans="1:16">
      <c r="A27" s="292"/>
      <c r="B27" s="402"/>
      <c r="C27" s="402"/>
      <c r="D27" s="402"/>
      <c r="E27" s="216"/>
      <c r="F27" s="194" t="s">
        <v>64</v>
      </c>
      <c r="G27" s="194" t="s">
        <v>64</v>
      </c>
      <c r="H27" s="201">
        <v>6100</v>
      </c>
      <c r="I27" s="201">
        <v>6200</v>
      </c>
      <c r="J27" s="201">
        <v>6500</v>
      </c>
      <c r="K27" s="201">
        <v>6600</v>
      </c>
      <c r="L27" s="201">
        <v>6800</v>
      </c>
      <c r="M27" s="194">
        <v>2026</v>
      </c>
      <c r="N27" s="194">
        <v>2027</v>
      </c>
      <c r="O27" s="194" t="s">
        <v>67</v>
      </c>
    </row>
    <row r="28" spans="1:16">
      <c r="A28" s="293" t="s">
        <v>208</v>
      </c>
      <c r="B28" s="306"/>
      <c r="C28" s="306"/>
      <c r="D28" s="306"/>
      <c r="E28" s="307"/>
      <c r="F28" s="205"/>
      <c r="G28" s="297"/>
      <c r="H28" s="202"/>
      <c r="I28" s="202"/>
      <c r="J28" s="202"/>
      <c r="K28" s="202"/>
      <c r="L28" s="203"/>
      <c r="M28" s="205"/>
      <c r="N28" s="205"/>
      <c r="O28" s="205"/>
    </row>
    <row r="29" spans="1:16">
      <c r="A29" s="53"/>
      <c r="B29" t="s">
        <v>209</v>
      </c>
      <c r="E29" s="390"/>
      <c r="F29" s="298"/>
      <c r="G29" s="299"/>
      <c r="H29" s="217"/>
      <c r="I29" s="217"/>
      <c r="J29" s="217"/>
      <c r="K29" s="217"/>
      <c r="L29" s="208"/>
      <c r="M29" s="217"/>
      <c r="N29" s="217"/>
      <c r="O29" s="209"/>
    </row>
    <row r="30" spans="1:16">
      <c r="A30" s="53"/>
      <c r="C30" t="s">
        <v>69</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70</v>
      </c>
      <c r="E31" s="390"/>
      <c r="F31" s="205"/>
      <c r="G31" s="297"/>
      <c r="H31" s="202"/>
      <c r="I31" s="202"/>
      <c r="J31" s="202"/>
      <c r="K31" s="202"/>
      <c r="L31" s="203"/>
      <c r="M31" s="205"/>
      <c r="N31" s="205"/>
      <c r="O31" s="205"/>
    </row>
    <row r="32" spans="1:16">
      <c r="A32" s="53"/>
      <c r="C32" t="s">
        <v>197</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198</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199</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200</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201</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202</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203</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210</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211</v>
      </c>
      <c r="E40" s="390"/>
      <c r="F40" s="205"/>
      <c r="G40" s="297"/>
      <c r="H40" s="202"/>
      <c r="I40" s="202"/>
      <c r="J40" s="202"/>
      <c r="K40" s="202"/>
      <c r="L40" s="203"/>
      <c r="M40" s="205"/>
      <c r="N40" s="205"/>
      <c r="O40" s="205"/>
      <c r="P40" s="210"/>
    </row>
    <row r="41" spans="1:16">
      <c r="A41" s="53"/>
      <c r="C41" t="s">
        <v>70</v>
      </c>
      <c r="E41" s="390"/>
      <c r="F41" s="298"/>
      <c r="G41" s="299"/>
      <c r="H41" s="217"/>
      <c r="I41" s="217"/>
      <c r="J41" s="217"/>
      <c r="K41" s="217"/>
      <c r="L41" s="208"/>
      <c r="M41" s="217"/>
      <c r="N41" s="217"/>
      <c r="O41" s="209"/>
      <c r="P41" s="210"/>
    </row>
    <row r="42" spans="1:16">
      <c r="A42" s="53"/>
      <c r="C42" t="s">
        <v>206</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212</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O55"/>
  <sheetViews>
    <sheetView showGridLines="0" topLeftCell="A3" workbookViewId="0">
      <selection activeCell="D37" sqref="D37"/>
    </sheetView>
  </sheetViews>
  <sheetFormatPr defaultColWidth="9" defaultRowHeight="12.75"/>
  <cols>
    <col min="1" max="2" width="1.5703125" style="125" customWidth="1"/>
    <col min="3" max="3" width="42" style="125" customWidth="1"/>
    <col min="4" max="5" width="12.5703125" style="125" customWidth="1"/>
    <col min="6" max="6" width="9.5703125" style="125" customWidth="1"/>
    <col min="7" max="7" width="4.5703125" style="125" customWidth="1"/>
    <col min="8" max="8" width="27.28515625" style="125" customWidth="1"/>
    <col min="9" max="9" width="5.28515625" style="125" customWidth="1"/>
    <col min="10" max="10" width="12.5703125" style="125" customWidth="1"/>
    <col min="11" max="11" width="13.5703125" style="125" customWidth="1"/>
    <col min="12" max="12" width="12.5703125" style="125" customWidth="1"/>
    <col min="13" max="13" width="9.5703125" style="125" customWidth="1"/>
    <col min="14" max="19" width="9" style="125" customWidth="1"/>
    <col min="20" max="16384" width="9" style="125"/>
  </cols>
  <sheetData>
    <row r="1" spans="1:15" ht="23.25" customHeight="1">
      <c r="A1" s="485" t="str">
        <f>IF(OR(BudgetVersion="Proposed",BudgetVersion=""),"FY 2027 Summary of charter school proposed budget",IF(BudgetVersion="Adopted","FY 2027 Summary of charter school adopted budget","FY 2027 Summary of charter school revised budget"))</f>
        <v>FY 2027 Summary of charter school proposed budget</v>
      </c>
      <c r="B1" s="485"/>
      <c r="C1" s="485"/>
      <c r="D1" s="485"/>
      <c r="E1" s="485"/>
      <c r="F1" s="485"/>
      <c r="G1" s="485"/>
      <c r="H1" s="485"/>
      <c r="I1" s="485"/>
      <c r="J1" s="485"/>
      <c r="K1" s="3" t="s">
        <v>2</v>
      </c>
      <c r="L1" s="308" t="str">
        <f>CTD</f>
        <v>078585000</v>
      </c>
      <c r="N1" s="516" t="s">
        <v>460</v>
      </c>
      <c r="O1" s="516"/>
    </row>
    <row r="2" spans="1:15" ht="3.75" customHeight="1"/>
    <row r="3" spans="1:15" ht="12" customHeight="1">
      <c r="A3" s="286" t="s">
        <v>213</v>
      </c>
      <c r="B3" s="309"/>
      <c r="C3" s="309"/>
      <c r="D3" s="534" t="s">
        <v>52</v>
      </c>
      <c r="E3" s="535"/>
      <c r="F3" s="310" t="s">
        <v>58</v>
      </c>
      <c r="H3" s="525" t="str">
        <f>CONCATENATE("The budget of ",IF(Cover!$D$3=0,Cover!$D$1,(CONCATENATE(Cover!$D$1," (d.b.a. ",Cover!$D$3,")")))," for fiscal year 2027 was officially proposed by the Governing Board on ",TEXT(Cover!$F$21,"mmmm dd, yyyy"),". The complete budget may be reviewed by contacting ",Cover!$O$15," at ",Cover!$M$16," or ",Cover!$P$16,".")</f>
        <v>The budget of George Gervin Youth Center, INC (d.b.a. George Gervin Prep Academy) for fiscal year 2027 was officially proposed by the Governing Board on July 01, 2026. The complete budget may be reviewed by contacting Barbara Hawkins at 2105688800 or bdhawkins@gervin-school.org.</v>
      </c>
      <c r="I3" s="526"/>
      <c r="J3" s="526"/>
      <c r="K3" s="526"/>
      <c r="L3" s="526"/>
      <c r="M3" s="527"/>
    </row>
    <row r="4" spans="1:15" ht="12" customHeight="1">
      <c r="A4" s="311"/>
      <c r="D4" s="272" t="s">
        <v>180</v>
      </c>
      <c r="E4" s="272" t="s">
        <v>181</v>
      </c>
      <c r="F4" s="312" t="s">
        <v>65</v>
      </c>
      <c r="H4" s="528"/>
      <c r="I4" s="529"/>
      <c r="J4" s="529"/>
      <c r="K4" s="529"/>
      <c r="L4" s="529"/>
      <c r="M4" s="530"/>
    </row>
    <row r="5" spans="1:15" ht="12" customHeight="1">
      <c r="A5" s="311" t="s">
        <v>68</v>
      </c>
      <c r="D5" s="201">
        <v>2026</v>
      </c>
      <c r="E5" s="201">
        <v>2027</v>
      </c>
      <c r="F5" s="313" t="s">
        <v>67</v>
      </c>
      <c r="H5" s="528"/>
      <c r="I5" s="529"/>
      <c r="J5" s="529"/>
      <c r="K5" s="529"/>
      <c r="L5" s="529"/>
      <c r="M5" s="530"/>
    </row>
    <row r="6" spans="1:15" ht="12" customHeight="1">
      <c r="A6" s="311"/>
      <c r="B6" s="125" t="s">
        <v>69</v>
      </c>
      <c r="D6" s="314">
        <f>SP1000P100F1000CY</f>
        <v>487328</v>
      </c>
      <c r="E6" s="314">
        <f>SP1000P100F1000</f>
        <v>483022</v>
      </c>
      <c r="F6" s="315">
        <f>IF(D6=0," ",(E6-D6)/D6)</f>
        <v>-8.9999999999999993E-3</v>
      </c>
      <c r="H6" s="528"/>
      <c r="I6" s="529"/>
      <c r="J6" s="529"/>
      <c r="K6" s="529"/>
      <c r="L6" s="529"/>
      <c r="M6" s="530"/>
    </row>
    <row r="7" spans="1:15" ht="12" customHeight="1">
      <c r="A7" s="311"/>
      <c r="B7" s="125" t="s">
        <v>70</v>
      </c>
      <c r="D7" s="316"/>
      <c r="E7" s="317"/>
      <c r="F7" s="316"/>
      <c r="H7" s="531"/>
      <c r="I7" s="532"/>
      <c r="J7" s="532"/>
      <c r="K7" s="532"/>
      <c r="L7" s="532"/>
      <c r="M7" s="533"/>
    </row>
    <row r="8" spans="1:15" ht="12" customHeight="1">
      <c r="A8" s="311"/>
      <c r="C8" s="125" t="s">
        <v>214</v>
      </c>
      <c r="D8" s="314">
        <f>SP1000P100F2100CY</f>
        <v>168656</v>
      </c>
      <c r="E8" s="318">
        <f>SP1000P100F2100</f>
        <v>136602</v>
      </c>
      <c r="F8" s="211">
        <f>IF(D8=0," ",(E8-D8)/D8)</f>
        <v>-0.19</v>
      </c>
      <c r="H8" s="319"/>
      <c r="I8" s="319"/>
      <c r="J8" s="319"/>
      <c r="K8" s="319"/>
    </row>
    <row r="9" spans="1:15" ht="12" customHeight="1">
      <c r="A9" s="311"/>
      <c r="C9" s="125" t="s">
        <v>215</v>
      </c>
      <c r="D9" s="320">
        <f>SP1000P100F2200CY</f>
        <v>0</v>
      </c>
      <c r="E9" s="320">
        <f>SP1000P100F2200</f>
        <v>0</v>
      </c>
      <c r="F9" s="209" t="str">
        <f>IF(D9=0," ",(E9-D9)/D9)</f>
        <v xml:space="preserve"> </v>
      </c>
      <c r="H9" s="317"/>
      <c r="I9" s="309"/>
      <c r="J9" s="321"/>
      <c r="K9" s="536" t="s">
        <v>52</v>
      </c>
      <c r="L9" s="537"/>
      <c r="M9" s="310" t="s">
        <v>58</v>
      </c>
    </row>
    <row r="10" spans="1:15" ht="12" customHeight="1">
      <c r="A10" s="311"/>
      <c r="C10" s="125" t="s">
        <v>216</v>
      </c>
      <c r="D10" s="320">
        <f>SP1000P100F2300CY</f>
        <v>3044</v>
      </c>
      <c r="E10" s="320">
        <f>SP1000P100F2300</f>
        <v>3003</v>
      </c>
      <c r="F10" s="315">
        <f t="shared" ref="F10:F21" si="0">IF(D10=0," ",(E10-D10)/D10)</f>
        <v>-1.2999999999999999E-2</v>
      </c>
      <c r="H10" s="322" t="s">
        <v>217</v>
      </c>
      <c r="I10" s="323"/>
      <c r="J10" s="324"/>
      <c r="K10" s="272" t="s">
        <v>180</v>
      </c>
      <c r="L10" s="272" t="s">
        <v>181</v>
      </c>
      <c r="M10" s="312" t="s">
        <v>65</v>
      </c>
    </row>
    <row r="11" spans="1:15" ht="12" customHeight="1">
      <c r="A11" s="311"/>
      <c r="C11" s="125" t="s">
        <v>218</v>
      </c>
      <c r="D11" s="320">
        <f>SP1000P100F2400CY</f>
        <v>263360</v>
      </c>
      <c r="E11" s="320">
        <f>SP1000P100F2400</f>
        <v>270103</v>
      </c>
      <c r="F11" s="315">
        <f t="shared" si="0"/>
        <v>2.5999999999999999E-2</v>
      </c>
      <c r="H11" s="325"/>
      <c r="I11" s="326"/>
      <c r="J11" s="327"/>
      <c r="K11" s="201">
        <v>2026</v>
      </c>
      <c r="L11" s="201">
        <v>2027</v>
      </c>
      <c r="M11" s="313" t="s">
        <v>67</v>
      </c>
    </row>
    <row r="12" spans="1:15" ht="12" customHeight="1">
      <c r="A12" s="311"/>
      <c r="C12" s="125" t="s">
        <v>219</v>
      </c>
      <c r="D12" s="320">
        <f>SP1000P100F2500CY</f>
        <v>16275</v>
      </c>
      <c r="E12" s="320">
        <f>SP1000P100F2500</f>
        <v>3484</v>
      </c>
      <c r="F12" s="315">
        <f t="shared" si="0"/>
        <v>-0.78600000000000003</v>
      </c>
      <c r="H12" s="82" t="s">
        <v>103</v>
      </c>
      <c r="I12" s="3"/>
      <c r="J12" s="91"/>
      <c r="K12" s="314">
        <f>'Page 2'!M5</f>
        <v>206619</v>
      </c>
      <c r="L12" s="314">
        <f>'Page 2'!N5</f>
        <v>114463</v>
      </c>
      <c r="M12" s="315">
        <f t="shared" ref="M12:M19" si="1">IF(K12=0," ",(L12-K12)/K12)</f>
        <v>-0.44600000000000001</v>
      </c>
    </row>
    <row r="13" spans="1:15" ht="12" customHeight="1">
      <c r="A13" s="311"/>
      <c r="C13" s="125" t="s">
        <v>220</v>
      </c>
      <c r="D13" s="320">
        <f>SP1000P100F2600CY</f>
        <v>407109</v>
      </c>
      <c r="E13" s="320">
        <f>SP1000P100F2600</f>
        <v>576449</v>
      </c>
      <c r="F13" s="315">
        <f t="shared" si="0"/>
        <v>0.41599999999999998</v>
      </c>
      <c r="H13" s="82" t="s">
        <v>105</v>
      </c>
      <c r="I13" s="3"/>
      <c r="J13" s="91"/>
      <c r="K13" s="314">
        <f>P200GiftedEducationCY</f>
        <v>0</v>
      </c>
      <c r="L13" s="320">
        <f>P200GiftedEducation</f>
        <v>0</v>
      </c>
      <c r="M13" s="315" t="str">
        <f t="shared" si="1"/>
        <v xml:space="preserve"> </v>
      </c>
    </row>
    <row r="14" spans="1:15" ht="12" customHeight="1">
      <c r="A14" s="311"/>
      <c r="C14" s="125" t="s">
        <v>221</v>
      </c>
      <c r="D14" s="320">
        <f>SP1000P100F2900CY</f>
        <v>0</v>
      </c>
      <c r="E14" s="320">
        <f>SP1000P100F2900</f>
        <v>0</v>
      </c>
      <c r="F14" s="315" t="str">
        <f t="shared" si="0"/>
        <v xml:space="preserve"> </v>
      </c>
      <c r="H14" s="82" t="s">
        <v>107</v>
      </c>
      <c r="I14" s="3"/>
      <c r="J14" s="91"/>
      <c r="K14" s="314">
        <f>P200ELLIncrementalCostsCY</f>
        <v>0</v>
      </c>
      <c r="L14" s="320">
        <f>P200ELLIncrementalCosts</f>
        <v>0</v>
      </c>
      <c r="M14" s="315" t="str">
        <f t="shared" si="1"/>
        <v xml:space="preserve"> </v>
      </c>
    </row>
    <row r="15" spans="1:15" ht="12" customHeight="1">
      <c r="A15" s="311"/>
      <c r="B15" s="125" t="s">
        <v>78</v>
      </c>
      <c r="D15" s="320">
        <f>SP1000P100F3000CY</f>
        <v>136547</v>
      </c>
      <c r="E15" s="320">
        <f>SP1000P100F3000</f>
        <v>117966</v>
      </c>
      <c r="F15" s="315">
        <f t="shared" si="0"/>
        <v>-0.13600000000000001</v>
      </c>
      <c r="H15" s="82" t="s">
        <v>109</v>
      </c>
      <c r="I15" s="3"/>
      <c r="J15" s="91"/>
      <c r="K15" s="320">
        <f>P200ELLCompensatoryInstructionCY</f>
        <v>0</v>
      </c>
      <c r="L15" s="320">
        <f>P200ELLCompensatoryInstruction</f>
        <v>0</v>
      </c>
      <c r="M15" s="315" t="str">
        <f t="shared" si="1"/>
        <v xml:space="preserve"> </v>
      </c>
    </row>
    <row r="16" spans="1:15" ht="12" customHeight="1">
      <c r="A16" s="311"/>
      <c r="B16" s="125" t="s">
        <v>79</v>
      </c>
      <c r="D16" s="320">
        <f>SP1000P100F4000CY</f>
        <v>0</v>
      </c>
      <c r="E16" s="320">
        <f>SP1000P100F4000</f>
        <v>0</v>
      </c>
      <c r="F16" s="315" t="str">
        <f t="shared" si="0"/>
        <v xml:space="preserve"> </v>
      </c>
      <c r="H16" s="82" t="s">
        <v>111</v>
      </c>
      <c r="I16" s="3"/>
      <c r="J16" s="91"/>
      <c r="K16" s="320">
        <f>P200RemedialEducationCY</f>
        <v>0</v>
      </c>
      <c r="L16" s="320">
        <f>P200RemedialEducation</f>
        <v>0</v>
      </c>
      <c r="M16" s="315" t="str">
        <f t="shared" si="1"/>
        <v xml:space="preserve"> </v>
      </c>
    </row>
    <row r="17" spans="1:13" ht="12" customHeight="1">
      <c r="A17" s="311"/>
      <c r="B17" s="125" t="s">
        <v>80</v>
      </c>
      <c r="D17" s="320">
        <f>SP1000P100F5000CY</f>
        <v>29154</v>
      </c>
      <c r="E17" s="320">
        <f>SP1000P100F5000</f>
        <v>28884</v>
      </c>
      <c r="F17" s="315">
        <f t="shared" si="0"/>
        <v>-8.9999999999999993E-3</v>
      </c>
      <c r="H17" s="82" t="s">
        <v>113</v>
      </c>
      <c r="I17" s="3"/>
      <c r="J17" s="91"/>
      <c r="K17" s="320">
        <f>P200VocationalandTechnologicalEdCY</f>
        <v>0</v>
      </c>
      <c r="L17" s="320">
        <f>P200VocationalandTechnologicalEd</f>
        <v>0</v>
      </c>
      <c r="M17" s="315" t="str">
        <f t="shared" si="1"/>
        <v xml:space="preserve"> </v>
      </c>
    </row>
    <row r="18" spans="1:13" ht="12" customHeight="1">
      <c r="A18" s="311" t="s">
        <v>81</v>
      </c>
      <c r="D18" s="320">
        <f>SP1000P610CY</f>
        <v>0</v>
      </c>
      <c r="E18" s="320">
        <f>SP1000P610</f>
        <v>0</v>
      </c>
      <c r="F18" s="315" t="str">
        <f t="shared" si="0"/>
        <v xml:space="preserve"> </v>
      </c>
      <c r="H18" s="82" t="s">
        <v>115</v>
      </c>
      <c r="I18" s="3"/>
      <c r="J18" s="91"/>
      <c r="K18" s="328">
        <f>P200CareerEducationCY</f>
        <v>0</v>
      </c>
      <c r="L18" s="328">
        <f>P200CareerEducation</f>
        <v>0</v>
      </c>
      <c r="M18" s="315" t="str">
        <f t="shared" si="1"/>
        <v xml:space="preserve"> </v>
      </c>
    </row>
    <row r="19" spans="1:13" ht="12" customHeight="1">
      <c r="A19" s="311" t="s">
        <v>82</v>
      </c>
      <c r="D19" s="320">
        <f>SP1000P620CY</f>
        <v>0</v>
      </c>
      <c r="E19" s="320">
        <f>SP1000P620</f>
        <v>0</v>
      </c>
      <c r="F19" s="315" t="str">
        <f t="shared" si="0"/>
        <v xml:space="preserve"> </v>
      </c>
      <c r="H19" s="538" t="s">
        <v>222</v>
      </c>
      <c r="I19" s="506"/>
      <c r="J19" s="506"/>
      <c r="K19" s="320">
        <f>SUM(K12:K18)</f>
        <v>206619</v>
      </c>
      <c r="L19" s="320">
        <f>SUM(L12:L18)</f>
        <v>114463</v>
      </c>
      <c r="M19" s="219">
        <f t="shared" si="1"/>
        <v>-0.44600000000000001</v>
      </c>
    </row>
    <row r="20" spans="1:13" ht="12" customHeight="1">
      <c r="A20" s="311" t="s">
        <v>83</v>
      </c>
      <c r="D20" s="320">
        <f>SP1000P630700800900CY</f>
        <v>0</v>
      </c>
      <c r="E20" s="320">
        <f>SP1000P630700800900</f>
        <v>0</v>
      </c>
      <c r="F20" s="315" t="str">
        <f t="shared" si="0"/>
        <v xml:space="preserve"> </v>
      </c>
      <c r="H20" s="329"/>
      <c r="I20" s="329"/>
      <c r="K20" s="330"/>
      <c r="L20" s="330"/>
      <c r="M20" s="221"/>
    </row>
    <row r="21" spans="1:13" ht="12" customHeight="1">
      <c r="A21" s="331"/>
      <c r="B21" s="332" t="s">
        <v>223</v>
      </c>
      <c r="C21" s="327"/>
      <c r="D21" s="320">
        <f>SUM(D6:D20)</f>
        <v>1511473</v>
      </c>
      <c r="E21" s="320">
        <f>SUM(E6:E20)</f>
        <v>1619513</v>
      </c>
      <c r="F21" s="315">
        <f t="shared" si="0"/>
        <v>7.0999999999999994E-2</v>
      </c>
      <c r="H21" s="521" t="s">
        <v>224</v>
      </c>
      <c r="I21" s="522"/>
      <c r="J21" s="522"/>
      <c r="K21" s="522"/>
      <c r="L21" s="523"/>
      <c r="M21" s="221"/>
    </row>
    <row r="22" spans="1:13" ht="12" customHeight="1">
      <c r="A22" s="311" t="s">
        <v>85</v>
      </c>
      <c r="D22" s="316"/>
      <c r="E22" s="317"/>
      <c r="F22" s="316"/>
      <c r="H22" s="311"/>
      <c r="J22" s="540" t="s">
        <v>52</v>
      </c>
      <c r="K22" s="541"/>
      <c r="L22" s="312" t="s">
        <v>58</v>
      </c>
      <c r="M22" s="221"/>
    </row>
    <row r="23" spans="1:13" ht="12" customHeight="1">
      <c r="A23" s="311"/>
      <c r="B23" s="125" t="s">
        <v>69</v>
      </c>
      <c r="D23" s="333">
        <f>SP1000P200F1000CY</f>
        <v>166619</v>
      </c>
      <c r="E23" s="334">
        <f>SP1000P200F1000</f>
        <v>114463</v>
      </c>
      <c r="F23" s="211">
        <f>IF(D23=0," ",(E23-D23)/D23)</f>
        <v>-0.313</v>
      </c>
      <c r="H23" s="311"/>
      <c r="J23" s="272" t="s">
        <v>180</v>
      </c>
      <c r="K23" s="272" t="s">
        <v>181</v>
      </c>
      <c r="L23" s="312" t="s">
        <v>65</v>
      </c>
      <c r="M23" s="221"/>
    </row>
    <row r="24" spans="1:13" ht="12" customHeight="1">
      <c r="A24" s="311"/>
      <c r="B24" s="125" t="s">
        <v>70</v>
      </c>
      <c r="D24" s="316"/>
      <c r="E24" s="316"/>
      <c r="F24" s="209"/>
      <c r="H24" s="335"/>
      <c r="J24" s="201">
        <v>2026</v>
      </c>
      <c r="K24" s="201">
        <v>2027</v>
      </c>
      <c r="L24" s="313" t="s">
        <v>67</v>
      </c>
      <c r="M24" s="221"/>
    </row>
    <row r="25" spans="1:13" ht="12" customHeight="1">
      <c r="A25" s="311"/>
      <c r="C25" s="125" t="s">
        <v>214</v>
      </c>
      <c r="D25" s="314">
        <f>SP1000P200F2100CY</f>
        <v>0</v>
      </c>
      <c r="E25" s="314">
        <f>SP1000P200F2100</f>
        <v>0</v>
      </c>
      <c r="F25" s="211" t="str">
        <f t="shared" ref="F25:F41" si="2">IF(D25=0," ",(E25-D25)/D25)</f>
        <v xml:space="preserve"> </v>
      </c>
      <c r="H25" s="336" t="s">
        <v>225</v>
      </c>
      <c r="I25" s="337"/>
      <c r="J25" s="314">
        <f>SP1000TotalCY</f>
        <v>1818348</v>
      </c>
      <c r="K25" s="314">
        <f>SP1000Total</f>
        <v>1852195</v>
      </c>
      <c r="L25" s="219">
        <f>IF(J25=0," ",(K25-J25)/J25)</f>
        <v>1.9E-2</v>
      </c>
      <c r="M25" s="221"/>
    </row>
    <row r="26" spans="1:13" ht="12" customHeight="1">
      <c r="A26" s="311"/>
      <c r="C26" s="125" t="s">
        <v>215</v>
      </c>
      <c r="D26" s="314">
        <f>SP1000P200F2200CY</f>
        <v>0</v>
      </c>
      <c r="E26" s="314">
        <f>SP1000P200F2200</f>
        <v>0</v>
      </c>
      <c r="F26" s="209" t="str">
        <f t="shared" si="2"/>
        <v xml:space="preserve"> </v>
      </c>
      <c r="H26" s="75" t="s">
        <v>226</v>
      </c>
      <c r="I26" s="337"/>
      <c r="J26" s="320">
        <f>SP1000ClassSiteProjCY</f>
        <v>164937</v>
      </c>
      <c r="K26" s="320">
        <f>SP1000ClassSiteProj</f>
        <v>178500</v>
      </c>
      <c r="L26" s="219">
        <f t="shared" ref="L26:L33" si="3">IF(J26=0," ",(K26-J26)/J26)</f>
        <v>8.2000000000000003E-2</v>
      </c>
      <c r="M26" s="221"/>
    </row>
    <row r="27" spans="1:13" ht="12" customHeight="1">
      <c r="A27" s="311"/>
      <c r="C27" s="125" t="s">
        <v>216</v>
      </c>
      <c r="D27" s="314">
        <f>SP1000P200F2300CY</f>
        <v>0</v>
      </c>
      <c r="E27" s="314">
        <f>SP1000P200F2300</f>
        <v>0</v>
      </c>
      <c r="F27" s="315" t="str">
        <f t="shared" si="2"/>
        <v xml:space="preserve"> </v>
      </c>
      <c r="H27" s="75" t="s">
        <v>227</v>
      </c>
      <c r="I27" s="337"/>
      <c r="J27" s="320">
        <f>SP1000InstrImpProjCY</f>
        <v>5520</v>
      </c>
      <c r="K27" s="320">
        <f>SP1000InstrImpProj</f>
        <v>12200</v>
      </c>
      <c r="L27" s="219">
        <f t="shared" si="3"/>
        <v>1.21</v>
      </c>
      <c r="M27" s="221"/>
    </row>
    <row r="28" spans="1:13" ht="12" customHeight="1">
      <c r="A28" s="311"/>
      <c r="C28" s="125" t="s">
        <v>218</v>
      </c>
      <c r="D28" s="314">
        <f>SP1000P200F2400CY</f>
        <v>0</v>
      </c>
      <c r="E28" s="314">
        <f>SP1000P200F2400</f>
        <v>0</v>
      </c>
      <c r="F28" s="315" t="str">
        <f t="shared" si="2"/>
        <v xml:space="preserve"> </v>
      </c>
      <c r="H28" s="75" t="s">
        <v>228</v>
      </c>
      <c r="I28" s="337"/>
      <c r="J28" s="320">
        <f>SP1000StruEngImmProjCY</f>
        <v>0</v>
      </c>
      <c r="K28" s="320">
        <f>SP1000StruEngImmProj</f>
        <v>0</v>
      </c>
      <c r="L28" s="219" t="str">
        <f t="shared" si="3"/>
        <v xml:space="preserve"> </v>
      </c>
      <c r="M28" s="221"/>
    </row>
    <row r="29" spans="1:13" ht="12" customHeight="1">
      <c r="A29" s="311"/>
      <c r="C29" s="125" t="s">
        <v>219</v>
      </c>
      <c r="D29" s="314">
        <f>SP1000P200F2500CY</f>
        <v>0</v>
      </c>
      <c r="E29" s="314">
        <f>SP1000P200F2500</f>
        <v>0</v>
      </c>
      <c r="F29" s="315" t="str">
        <f t="shared" si="2"/>
        <v xml:space="preserve"> </v>
      </c>
      <c r="H29" s="75" t="s">
        <v>229</v>
      </c>
      <c r="I29" s="337"/>
      <c r="J29" s="320">
        <f>SP1000CompInstrProjCY</f>
        <v>0</v>
      </c>
      <c r="K29" s="320">
        <f>SP1000CompInstrProj</f>
        <v>0</v>
      </c>
      <c r="L29" s="219" t="str">
        <f t="shared" si="3"/>
        <v xml:space="preserve"> </v>
      </c>
      <c r="M29" s="221"/>
    </row>
    <row r="30" spans="1:13" ht="12" customHeight="1">
      <c r="A30" s="311"/>
      <c r="C30" s="125" t="s">
        <v>220</v>
      </c>
      <c r="D30" s="314">
        <f>SP1000P200F2600CY</f>
        <v>40000</v>
      </c>
      <c r="E30" s="314">
        <f>SP1000P200F2600</f>
        <v>0</v>
      </c>
      <c r="F30" s="315">
        <f t="shared" si="2"/>
        <v>-1</v>
      </c>
      <c r="H30" s="75" t="s">
        <v>230</v>
      </c>
      <c r="I30" s="337"/>
      <c r="J30" s="320">
        <f>TotalFederalProjectsCY</f>
        <v>117814</v>
      </c>
      <c r="K30" s="320">
        <f>TotalFederalProjects</f>
        <v>119735</v>
      </c>
      <c r="L30" s="219">
        <f t="shared" si="3"/>
        <v>1.6E-2</v>
      </c>
      <c r="M30" s="221"/>
    </row>
    <row r="31" spans="1:13" ht="12" customHeight="1">
      <c r="A31" s="311"/>
      <c r="C31" s="125" t="s">
        <v>221</v>
      </c>
      <c r="D31" s="314">
        <f>SP1000P200F2900CY</f>
        <v>0</v>
      </c>
      <c r="E31" s="314">
        <f>SP1000P200F2900</f>
        <v>0</v>
      </c>
      <c r="F31" s="315" t="str">
        <f t="shared" si="2"/>
        <v xml:space="preserve"> </v>
      </c>
      <c r="H31" s="75" t="s">
        <v>231</v>
      </c>
      <c r="I31" s="337"/>
      <c r="J31" s="320">
        <f>TotalStateProjectsCY</f>
        <v>5704</v>
      </c>
      <c r="K31" s="320">
        <f>TotalStateProjects</f>
        <v>0</v>
      </c>
      <c r="L31" s="219">
        <f t="shared" si="3"/>
        <v>-1</v>
      </c>
      <c r="M31" s="221"/>
    </row>
    <row r="32" spans="1:13" ht="12" customHeight="1">
      <c r="A32" s="311"/>
      <c r="B32" s="125" t="s">
        <v>78</v>
      </c>
      <c r="D32" s="314">
        <f>SP1000P200F3000CY</f>
        <v>0</v>
      </c>
      <c r="E32" s="314">
        <f>SP1000P200F3000</f>
        <v>0</v>
      </c>
      <c r="F32" s="315" t="str">
        <f t="shared" si="2"/>
        <v xml:space="preserve"> </v>
      </c>
      <c r="H32" s="75" t="s">
        <v>169</v>
      </c>
      <c r="I32" s="337"/>
      <c r="J32" s="320">
        <f>TotalCapitalAcquisitionsCY</f>
        <v>0</v>
      </c>
      <c r="K32" s="320">
        <f>TotalCapitalAcquisitions</f>
        <v>0</v>
      </c>
      <c r="L32" s="219" t="str">
        <f t="shared" si="3"/>
        <v xml:space="preserve"> </v>
      </c>
      <c r="M32" s="221"/>
    </row>
    <row r="33" spans="1:14" ht="12" customHeight="1">
      <c r="A33" s="311"/>
      <c r="B33" s="125" t="s">
        <v>79</v>
      </c>
      <c r="D33" s="314">
        <f>SP1000P200F4000CY</f>
        <v>0</v>
      </c>
      <c r="E33" s="314">
        <f>SP1000P200F4000</f>
        <v>0</v>
      </c>
      <c r="F33" s="315" t="str">
        <f t="shared" si="2"/>
        <v xml:space="preserve"> </v>
      </c>
      <c r="H33" s="75" t="s">
        <v>232</v>
      </c>
      <c r="I33" s="337"/>
      <c r="J33" s="320">
        <f>SUM(J25:J32)</f>
        <v>2112323</v>
      </c>
      <c r="K33" s="320">
        <f>SUM(K25:K32)</f>
        <v>2162630</v>
      </c>
      <c r="L33" s="219">
        <f t="shared" si="3"/>
        <v>2.4E-2</v>
      </c>
    </row>
    <row r="34" spans="1:14" ht="12" customHeight="1">
      <c r="A34" s="311"/>
      <c r="B34" s="125" t="s">
        <v>80</v>
      </c>
      <c r="D34" s="314">
        <f>SP1000P200F5000CY</f>
        <v>0</v>
      </c>
      <c r="E34" s="314">
        <f>SP1000P200F5000</f>
        <v>0</v>
      </c>
      <c r="F34" s="315" t="str">
        <f t="shared" si="2"/>
        <v xml:space="preserve"> </v>
      </c>
    </row>
    <row r="35" spans="1:14" ht="12" customHeight="1">
      <c r="A35" s="311"/>
      <c r="B35" s="125" t="s">
        <v>233</v>
      </c>
      <c r="C35" s="324"/>
      <c r="D35" s="328">
        <f>SUM(D23:D34)</f>
        <v>206619</v>
      </c>
      <c r="E35" s="328">
        <f>SUM(E23:E34)</f>
        <v>114463</v>
      </c>
      <c r="F35" s="315">
        <f t="shared" si="2"/>
        <v>-0.44600000000000001</v>
      </c>
      <c r="H35" s="524" t="s">
        <v>234</v>
      </c>
      <c r="I35" s="524"/>
      <c r="J35" s="524"/>
      <c r="K35" s="524"/>
      <c r="L35" s="524"/>
      <c r="M35" s="542" t="str">
        <f>IF(L37&lt;1,"Enter average salary on the budget Cover","")</f>
        <v/>
      </c>
      <c r="N35" s="338"/>
    </row>
    <row r="36" spans="1:14" ht="0.75" customHeight="1">
      <c r="A36" s="331" t="s">
        <v>235</v>
      </c>
      <c r="B36" s="332"/>
      <c r="C36" s="327"/>
      <c r="D36" s="314"/>
      <c r="E36" s="314"/>
      <c r="F36" s="211"/>
      <c r="J36" s="339"/>
      <c r="K36" s="339"/>
      <c r="L36" s="339"/>
      <c r="M36" s="542"/>
      <c r="N36" s="338"/>
    </row>
    <row r="37" spans="1:14" ht="12" customHeight="1">
      <c r="A37" s="336" t="s">
        <v>88</v>
      </c>
      <c r="B37" s="337"/>
      <c r="C37" s="340"/>
      <c r="D37" s="320">
        <f>SP1000P400CY</f>
        <v>100256</v>
      </c>
      <c r="E37" s="320">
        <f>SP1000P400</f>
        <v>118219</v>
      </c>
      <c r="F37" s="219">
        <f t="shared" si="2"/>
        <v>0.17899999999999999</v>
      </c>
      <c r="H37" s="539" t="s">
        <v>479</v>
      </c>
      <c r="I37" s="539"/>
      <c r="J37" s="539"/>
      <c r="K37" s="539"/>
      <c r="L37" s="213">
        <f>BudgetYearSalary</f>
        <v>48686</v>
      </c>
      <c r="M37" s="542"/>
      <c r="N37" s="338"/>
    </row>
    <row r="38" spans="1:14" ht="12" customHeight="1">
      <c r="A38" s="336" t="s">
        <v>89</v>
      </c>
      <c r="B38" s="337"/>
      <c r="C38" s="340"/>
      <c r="D38" s="320">
        <f>SP1000P530CY</f>
        <v>0</v>
      </c>
      <c r="E38" s="320">
        <f>SP1000P530</f>
        <v>0</v>
      </c>
      <c r="F38" s="219" t="str">
        <f t="shared" si="2"/>
        <v xml:space="preserve"> </v>
      </c>
      <c r="H38" s="539" t="s">
        <v>480</v>
      </c>
      <c r="I38" s="539"/>
      <c r="J38" s="539"/>
      <c r="K38" s="539"/>
      <c r="L38" s="213">
        <f>PriorYearSalary</f>
        <v>48236</v>
      </c>
      <c r="M38" s="542"/>
      <c r="N38" s="338"/>
    </row>
    <row r="39" spans="1:14" ht="12" customHeight="1">
      <c r="A39" s="336" t="s">
        <v>236</v>
      </c>
      <c r="B39" s="337"/>
      <c r="C39" s="340"/>
      <c r="D39" s="320">
        <f>SP1000P540CY</f>
        <v>0</v>
      </c>
      <c r="E39" s="320">
        <f>SP1000P540</f>
        <v>0</v>
      </c>
      <c r="F39" s="219" t="str">
        <f t="shared" si="2"/>
        <v xml:space="preserve"> </v>
      </c>
      <c r="H39" s="539" t="s">
        <v>481</v>
      </c>
      <c r="I39" s="539"/>
      <c r="J39" s="539"/>
      <c r="K39" s="539"/>
      <c r="L39" s="213">
        <f>SalaryIncreaseFromPriorYear</f>
        <v>450</v>
      </c>
      <c r="M39" s="542"/>
      <c r="N39" s="338"/>
    </row>
    <row r="40" spans="1:14" ht="12" customHeight="1">
      <c r="A40" s="331" t="s">
        <v>91</v>
      </c>
      <c r="B40" s="332"/>
      <c r="C40" s="327"/>
      <c r="D40" s="320">
        <f>SP1000P550CY</f>
        <v>0</v>
      </c>
      <c r="E40" s="320">
        <f>SP1000P550</f>
        <v>0</v>
      </c>
      <c r="F40" s="219" t="str">
        <f t="shared" si="2"/>
        <v xml:space="preserve"> </v>
      </c>
      <c r="H40" s="539" t="s">
        <v>237</v>
      </c>
      <c r="I40" s="539"/>
      <c r="J40" s="539"/>
      <c r="K40" s="539"/>
      <c r="L40" s="304">
        <f>SalaryPercentageIncrease</f>
        <v>8.9999999999999993E-3</v>
      </c>
      <c r="M40" s="542"/>
      <c r="N40" s="338"/>
    </row>
    <row r="41" spans="1:14" ht="12" customHeight="1">
      <c r="A41" s="331"/>
      <c r="B41" s="332"/>
      <c r="C41" s="327" t="s">
        <v>222</v>
      </c>
      <c r="D41" s="314">
        <f>SUM(D35:D40)+D21</f>
        <v>1818348</v>
      </c>
      <c r="E41" s="314">
        <f>SUM(E35:E40)+E21</f>
        <v>1852195</v>
      </c>
      <c r="F41" s="219">
        <f t="shared" si="2"/>
        <v>1.9E-2</v>
      </c>
      <c r="H41" s="543" t="str">
        <f>IF(AverageSalaryCalculationComment&lt;&gt;"",AverageSalaryCalculationComment,"")</f>
        <v>Comments on average salary calculation (optional):</v>
      </c>
      <c r="I41" s="544"/>
      <c r="J41" s="544"/>
      <c r="K41" s="544"/>
      <c r="L41" s="545"/>
      <c r="M41" s="542"/>
    </row>
    <row r="42" spans="1:14" ht="12" customHeight="1">
      <c r="D42" s="330"/>
      <c r="E42" s="330"/>
      <c r="F42" s="221"/>
      <c r="H42" s="546"/>
      <c r="I42" s="547"/>
      <c r="J42" s="547"/>
      <c r="K42" s="547"/>
      <c r="L42" s="548"/>
      <c r="M42" s="542"/>
    </row>
    <row r="43" spans="1:14" ht="12" customHeight="1">
      <c r="H43" s="546"/>
      <c r="I43" s="547"/>
      <c r="J43" s="547"/>
      <c r="K43" s="547"/>
      <c r="L43" s="548"/>
      <c r="M43" s="542"/>
    </row>
    <row r="44" spans="1:14" ht="12" customHeight="1">
      <c r="H44" s="546"/>
      <c r="I44" s="547"/>
      <c r="J44" s="547"/>
      <c r="K44" s="547"/>
      <c r="L44" s="548"/>
      <c r="M44" s="542"/>
    </row>
    <row r="45" spans="1:14" ht="12" customHeight="1">
      <c r="H45" s="546"/>
      <c r="I45" s="547"/>
      <c r="J45" s="547"/>
      <c r="K45" s="547"/>
      <c r="L45" s="548"/>
      <c r="M45" s="542"/>
    </row>
    <row r="46" spans="1:14" ht="12" customHeight="1">
      <c r="H46" s="546"/>
      <c r="I46" s="547"/>
      <c r="J46" s="547"/>
      <c r="K46" s="547"/>
      <c r="L46" s="548"/>
      <c r="M46" s="341"/>
    </row>
    <row r="47" spans="1:14" ht="12" customHeight="1">
      <c r="H47" s="549"/>
      <c r="I47" s="550"/>
      <c r="J47" s="550"/>
      <c r="K47" s="550"/>
      <c r="L47" s="551"/>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mergeCells count="15">
    <mergeCell ref="H39:K39"/>
    <mergeCell ref="H40:K40"/>
    <mergeCell ref="J22:K22"/>
    <mergeCell ref="H37:K37"/>
    <mergeCell ref="M35:M45"/>
    <mergeCell ref="H38:K38"/>
    <mergeCell ref="H41:L47"/>
    <mergeCell ref="N1:O1"/>
    <mergeCell ref="H21:L21"/>
    <mergeCell ref="H35:L35"/>
    <mergeCell ref="A1:J1"/>
    <mergeCell ref="H3:M7"/>
    <mergeCell ref="D3:E3"/>
    <mergeCell ref="K9:L9"/>
    <mergeCell ref="H19:J19"/>
  </mergeCells>
  <hyperlinks>
    <hyperlink ref="N1" location="BudgetSummary" display="Instructions" xr:uid="{00000000-0004-0000-0600-000000000000}"/>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sheetPr codeName="Sheet7"/>
  <dimension ref="A1:H36"/>
  <sheetViews>
    <sheetView showGridLines="0" workbookViewId="0">
      <selection activeCell="F31" sqref="F31"/>
    </sheetView>
  </sheetViews>
  <sheetFormatPr defaultColWidth="8" defaultRowHeight="12.75"/>
  <cols>
    <col min="1" max="1" width="13.5703125" customWidth="1"/>
    <col min="2" max="2" width="107.28515625" customWidth="1"/>
    <col min="3" max="5" width="15.5703125" customWidth="1"/>
    <col min="6" max="6" width="19.28515625" customWidth="1"/>
    <col min="7" max="7" width="15.5703125" customWidth="1"/>
    <col min="8" max="8" width="17.5703125" customWidth="1"/>
    <col min="9" max="9" width="8" customWidth="1"/>
  </cols>
  <sheetData>
    <row r="1" spans="1:8" s="412" customFormat="1">
      <c r="A1" s="411" t="s">
        <v>0</v>
      </c>
      <c r="B1" s="432" t="str">
        <f>CharterName</f>
        <v>George Gervin Youth Center, INC</v>
      </c>
      <c r="D1" s="411" t="s">
        <v>1</v>
      </c>
      <c r="E1" s="433" t="str">
        <f>Cover!M1</f>
        <v>Maricopa</v>
      </c>
      <c r="F1" s="413"/>
      <c r="G1" s="411" t="s">
        <v>2</v>
      </c>
      <c r="H1" s="414" t="str">
        <f>CTD</f>
        <v>078585000</v>
      </c>
    </row>
    <row r="2" spans="1:8" s="412" customFormat="1">
      <c r="B2" s="411"/>
      <c r="C2" s="415"/>
      <c r="D2" s="415"/>
      <c r="E2" s="415"/>
      <c r="G2" s="411"/>
      <c r="H2" s="415"/>
    </row>
    <row r="3" spans="1:8" s="416" customFormat="1" ht="25.5" customHeight="1">
      <c r="A3" s="552" t="s">
        <v>488</v>
      </c>
      <c r="B3" s="552"/>
      <c r="C3" s="552"/>
      <c r="D3" s="552"/>
      <c r="E3" s="552"/>
      <c r="F3" s="552"/>
      <c r="G3" s="552"/>
      <c r="H3" s="552"/>
    </row>
    <row r="4" spans="1:8" s="416" customFormat="1" ht="16.5" customHeight="1">
      <c r="A4" s="417"/>
      <c r="B4" s="417"/>
      <c r="C4" s="447" t="s">
        <v>460</v>
      </c>
      <c r="D4" s="417"/>
      <c r="E4" s="417"/>
      <c r="F4" s="417"/>
      <c r="G4" s="417"/>
      <c r="H4" s="417"/>
    </row>
    <row r="5" spans="1:8">
      <c r="A5" s="553" t="s">
        <v>482</v>
      </c>
      <c r="B5" s="553"/>
      <c r="C5" s="343"/>
    </row>
    <row r="6" spans="1:8">
      <c r="A6" s="343"/>
      <c r="B6" s="343"/>
      <c r="C6" s="418" t="s">
        <v>238</v>
      </c>
    </row>
    <row r="7" spans="1:8" ht="8.25" customHeight="1">
      <c r="A7" s="419"/>
      <c r="B7" s="343"/>
      <c r="C7" s="420"/>
    </row>
    <row r="8" spans="1:8">
      <c r="A8" s="461" t="s">
        <v>5</v>
      </c>
      <c r="B8" s="94" t="s">
        <v>483</v>
      </c>
      <c r="C8" s="422">
        <v>428275</v>
      </c>
    </row>
    <row r="9" spans="1:8" ht="15" customHeight="1">
      <c r="A9" s="423"/>
      <c r="B9" s="453" t="s">
        <v>484</v>
      </c>
      <c r="C9" s="425"/>
    </row>
    <row r="10" spans="1:8">
      <c r="A10" s="426"/>
      <c r="B10" s="343"/>
      <c r="C10" s="420"/>
    </row>
    <row r="11" spans="1:8">
      <c r="A11" s="421" t="s">
        <v>8</v>
      </c>
      <c r="B11" s="160" t="s">
        <v>485</v>
      </c>
      <c r="C11" s="343"/>
    </row>
    <row r="12" spans="1:8">
      <c r="A12" s="460" t="s">
        <v>519</v>
      </c>
      <c r="B12" s="443" t="s">
        <v>532</v>
      </c>
      <c r="C12" s="422"/>
    </row>
    <row r="13" spans="1:8">
      <c r="A13" s="460" t="s">
        <v>516</v>
      </c>
      <c r="B13" t="s">
        <v>517</v>
      </c>
      <c r="C13" s="422">
        <v>2033621</v>
      </c>
    </row>
    <row r="14" spans="1:8">
      <c r="A14" s="464" t="s">
        <v>520</v>
      </c>
      <c r="B14" t="s">
        <v>518</v>
      </c>
      <c r="C14" s="422">
        <v>1983939</v>
      </c>
    </row>
    <row r="15" spans="1:8">
      <c r="B15" s="424"/>
      <c r="C15" s="427"/>
    </row>
    <row r="16" spans="1:8">
      <c r="A16" s="421" t="s">
        <v>134</v>
      </c>
      <c r="B16" s="160" t="s">
        <v>486</v>
      </c>
      <c r="C16" s="428">
        <f>C8+C12+C13-C14</f>
        <v>477957</v>
      </c>
    </row>
    <row r="17" spans="1:8">
      <c r="A17" s="460" t="s">
        <v>519</v>
      </c>
      <c r="B17" t="s">
        <v>526</v>
      </c>
      <c r="C17" s="422">
        <v>0</v>
      </c>
    </row>
    <row r="18" spans="1:8">
      <c r="A18" s="460" t="s">
        <v>516</v>
      </c>
      <c r="B18" t="s">
        <v>527</v>
      </c>
      <c r="C18" s="422">
        <v>477957</v>
      </c>
    </row>
    <row r="19" spans="1:8">
      <c r="A19" s="463" t="s">
        <v>520</v>
      </c>
      <c r="B19" t="s">
        <v>523</v>
      </c>
      <c r="C19" s="428">
        <f>C17+C18</f>
        <v>477957</v>
      </c>
    </row>
    <row r="20" spans="1:8">
      <c r="A20" s="421"/>
      <c r="B20" s="419"/>
      <c r="C20" s="430"/>
    </row>
    <row r="21" spans="1:8">
      <c r="A21" s="421" t="s">
        <v>137</v>
      </c>
      <c r="B21" s="160" t="s">
        <v>487</v>
      </c>
      <c r="C21" s="430"/>
    </row>
    <row r="22" spans="1:8">
      <c r="A22" s="460" t="s">
        <v>519</v>
      </c>
      <c r="B22" t="s">
        <v>528</v>
      </c>
      <c r="C22" s="422">
        <v>0</v>
      </c>
    </row>
    <row r="23" spans="1:8">
      <c r="A23" s="460" t="s">
        <v>516</v>
      </c>
      <c r="B23" t="s">
        <v>529</v>
      </c>
      <c r="C23" s="422">
        <v>150000</v>
      </c>
    </row>
    <row r="24" spans="1:8" ht="13.5" customHeight="1">
      <c r="A24" s="462" t="s">
        <v>520</v>
      </c>
      <c r="B24" t="s">
        <v>530</v>
      </c>
      <c r="C24" s="422">
        <v>0</v>
      </c>
    </row>
    <row r="25" spans="1:8">
      <c r="A25" s="460" t="s">
        <v>521</v>
      </c>
      <c r="B25" t="s">
        <v>531</v>
      </c>
      <c r="C25" s="422">
        <v>327957</v>
      </c>
    </row>
    <row r="26" spans="1:8">
      <c r="A26" s="431" t="s">
        <v>525</v>
      </c>
      <c r="B26" s="343" t="s">
        <v>524</v>
      </c>
      <c r="C26" s="428">
        <f>SUM(C22:C25)</f>
        <v>477957</v>
      </c>
    </row>
    <row r="27" spans="1:8">
      <c r="A27" s="429"/>
      <c r="B27" s="343"/>
    </row>
    <row r="28" spans="1:8">
      <c r="A28" s="429"/>
      <c r="B28" s="343"/>
      <c r="C28" s="343"/>
    </row>
    <row r="29" spans="1:8" ht="14.25" customHeight="1">
      <c r="A29" s="461" t="s">
        <v>140</v>
      </c>
      <c r="B29" t="s">
        <v>240</v>
      </c>
      <c r="C29" s="343"/>
      <c r="D29" s="394"/>
      <c r="E29" s="394"/>
      <c r="F29" s="394"/>
      <c r="G29" s="394"/>
      <c r="H29" s="394"/>
    </row>
    <row r="30" spans="1:8">
      <c r="A30" s="554"/>
      <c r="B30" s="555"/>
      <c r="C30" s="556"/>
    </row>
    <row r="31" spans="1:8">
      <c r="A31" s="557"/>
      <c r="B31" s="558"/>
      <c r="C31" s="559"/>
    </row>
    <row r="32" spans="1:8">
      <c r="A32" s="557"/>
      <c r="B32" s="558"/>
      <c r="C32" s="559"/>
    </row>
    <row r="33" spans="1:3">
      <c r="A33" s="557"/>
      <c r="B33" s="558"/>
      <c r="C33" s="559"/>
    </row>
    <row r="34" spans="1:3">
      <c r="A34" s="557"/>
      <c r="B34" s="558"/>
      <c r="C34" s="559"/>
    </row>
    <row r="35" spans="1:3">
      <c r="A35" s="557"/>
      <c r="B35" s="558"/>
      <c r="C35" s="559"/>
    </row>
    <row r="36" spans="1:3">
      <c r="A36" s="560"/>
      <c r="B36" s="561"/>
      <c r="C36" s="562"/>
    </row>
  </sheetData>
  <mergeCells count="3">
    <mergeCell ref="A3:H3"/>
    <mergeCell ref="A5:B5"/>
    <mergeCell ref="A30:C36"/>
  </mergeCells>
  <conditionalFormatting sqref="A30">
    <cfRule type="containsBlanks" dxfId="5" priority="4">
      <formula>LEN(TRIM(A30))=0</formula>
    </cfRule>
  </conditionalFormatting>
  <conditionalFormatting sqref="C8">
    <cfRule type="containsBlanks" dxfId="4" priority="11">
      <formula>LEN(TRIM(C8))=0</formula>
    </cfRule>
  </conditionalFormatting>
  <conditionalFormatting sqref="C12:C14">
    <cfRule type="containsBlanks" dxfId="3" priority="2">
      <formula>LEN(TRIM(C12))=0</formula>
    </cfRule>
  </conditionalFormatting>
  <conditionalFormatting sqref="C17:C18">
    <cfRule type="containsBlanks" dxfId="2" priority="1">
      <formula>LEN(TRIM(C17))=0</formula>
    </cfRule>
  </conditionalFormatting>
  <conditionalFormatting sqref="C22:C25">
    <cfRule type="containsBlanks" dxfId="1" priority="3">
      <formula>LEN(TRIM(C22))=0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A8" location="ProjectBalancesLine1" display="FY 2024 final ending project balance" xr:uid="{00000000-0004-0000-0700-000000000000}"/>
    <hyperlink ref="A14" location="ProjectBalancesLine2c" display="(c) FY 2026 expenses, indirect costs, reversions, capital acquisitions, and redemption of principal" xr:uid="{00000000-0004-0000-0700-000002000000}"/>
    <hyperlink ref="A17" location="ProjectBalancesLine3a" display="(a) With donor restrictions/Restricted" xr:uid="{00000000-0004-0000-0700-000003000000}"/>
    <hyperlink ref="A18" location="ProjectBalancesLine3b" display="(b) Without donor restrictions/Unrestricted" xr:uid="{00000000-0004-0000-0700-000004000000}"/>
    <hyperlink ref="A22" location="ProjectBalancesLine4a" display="(a) Deficit balance" xr:uid="{00000000-0004-0000-0700-000005000000}"/>
    <hyperlink ref="A23" location="ProjectBalancesLine4b" display="(b) Planned to be spent in FY 2026 " xr:uid="{00000000-0004-0000-0700-000006000000}"/>
    <hyperlink ref="A24" location="ProjectBalancesLine4c" display="(c) Planned to be spent in FY 2026 to support operations of other school sites within the same charter management organization" xr:uid="{00000000-0004-0000-0700-000007000000}"/>
    <hyperlink ref="A25" location="ProjectBalancesLine4d" display="(d) Maintained for spending after FY 2026" xr:uid="{00000000-0004-0000-0700-000008000000}"/>
    <hyperlink ref="A29" location="ProjectBalancesLine5" display="Comments (optional)" xr:uid="{00000000-0004-0000-0700-000009000000}"/>
    <hyperlink ref="C4" location="ProjectBalancesLine1" display="Instructions" xr:uid="{00000000-0004-0000-0700-00000A000000}"/>
    <hyperlink ref="A13" location="ProjectBalancesLine2b" display="(b) FY 2026 revenues" xr:uid="{DB9AB5A8-ABC0-4990-9A85-6FA6257416B2}"/>
    <hyperlink ref="A12" location="ProjectBalancesLine2a" display="(a)" xr:uid="{18F97555-C419-46B6-97C1-C58203300151}"/>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C114"/>
  <sheetViews>
    <sheetView showGridLines="0" tabSelected="1" topLeftCell="A70" workbookViewId="0">
      <selection activeCell="C114" sqref="C114:J114"/>
    </sheetView>
  </sheetViews>
  <sheetFormatPr defaultColWidth="9" defaultRowHeight="12.75"/>
  <cols>
    <col min="1" max="1" width="3.28515625" customWidth="1"/>
    <col min="2" max="2" width="3.85546875" customWidth="1"/>
    <col min="3" max="3" width="5.28515625" customWidth="1"/>
    <col min="4" max="4" width="6.28515625" customWidth="1"/>
    <col min="5" max="5" width="31" customWidth="1"/>
    <col min="6" max="6" width="1.5703125" customWidth="1"/>
    <col min="7" max="7" width="12.5703125" customWidth="1"/>
    <col min="8" max="8" width="1.5703125" customWidth="1"/>
    <col min="9" max="10" width="12.5703125" customWidth="1"/>
    <col min="11" max="11" width="1.5703125" customWidth="1"/>
    <col min="12" max="12" width="10.5703125" customWidth="1"/>
    <col min="13" max="15" width="12.5703125" customWidth="1"/>
    <col min="16" max="19" width="10.5703125" customWidth="1"/>
    <col min="20" max="20" width="9" customWidth="1"/>
  </cols>
  <sheetData>
    <row r="1" spans="1:23">
      <c r="A1" t="s">
        <v>0</v>
      </c>
      <c r="B1" s="343"/>
      <c r="C1" s="343"/>
      <c r="D1" s="343"/>
      <c r="E1" s="344" t="str">
        <f>CharterName</f>
        <v>George Gervin Youth Center, INC</v>
      </c>
      <c r="F1" s="345"/>
      <c r="G1" s="3"/>
      <c r="I1" s="3"/>
      <c r="K1" s="406" t="s">
        <v>1</v>
      </c>
      <c r="L1" s="407" t="str">
        <f>Cover!M1</f>
        <v>Maricopa</v>
      </c>
      <c r="M1" s="395"/>
      <c r="N1" s="2"/>
      <c r="O1" s="406" t="s">
        <v>2</v>
      </c>
      <c r="P1" s="396" t="str">
        <f>CTD</f>
        <v>078585000</v>
      </c>
    </row>
    <row r="2" spans="1:23" ht="24.75" customHeight="1"/>
    <row r="4" spans="1:23" ht="15.75">
      <c r="A4" s="587" t="s">
        <v>447</v>
      </c>
      <c r="B4" s="587"/>
      <c r="C4" s="587"/>
      <c r="D4" s="587"/>
      <c r="E4" s="587"/>
      <c r="F4" s="587"/>
      <c r="G4" s="587"/>
      <c r="H4" s="587"/>
      <c r="I4" s="587"/>
      <c r="J4" s="587"/>
      <c r="K4" s="587"/>
      <c r="L4" s="587"/>
      <c r="M4" s="587"/>
      <c r="N4" s="587"/>
    </row>
    <row r="5" spans="1:23">
      <c r="A5" s="588"/>
      <c r="B5" s="588"/>
      <c r="C5" s="588"/>
      <c r="E5" s="483" t="s">
        <v>39</v>
      </c>
      <c r="F5" s="483"/>
      <c r="G5" s="483"/>
    </row>
    <row r="6" spans="1:23">
      <c r="B6" s="144" t="s">
        <v>5</v>
      </c>
      <c r="C6" s="589" t="s">
        <v>40</v>
      </c>
      <c r="D6" s="589"/>
      <c r="E6" s="590"/>
      <c r="F6" s="593" t="s">
        <v>551</v>
      </c>
      <c r="G6" s="594"/>
      <c r="H6" s="594"/>
      <c r="I6" s="595"/>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82" t="s">
        <v>41</v>
      </c>
      <c r="D8" s="482"/>
      <c r="E8" s="591"/>
      <c r="F8" s="596" t="s">
        <v>552</v>
      </c>
      <c r="G8" s="596"/>
      <c r="H8" s="596"/>
      <c r="I8" s="596"/>
    </row>
    <row r="10" spans="1:23">
      <c r="B10" s="144" t="s">
        <v>134</v>
      </c>
      <c r="C10" s="601" t="s">
        <v>42</v>
      </c>
      <c r="D10" s="601"/>
      <c r="E10" s="602"/>
      <c r="F10" s="597" t="s">
        <v>553</v>
      </c>
      <c r="G10" s="597"/>
      <c r="H10" s="597"/>
      <c r="I10" s="597"/>
    </row>
    <row r="11" spans="1:23">
      <c r="C11" s="601"/>
      <c r="D11" s="601"/>
      <c r="E11" s="602"/>
      <c r="F11" s="597"/>
      <c r="G11" s="597"/>
      <c r="H11" s="597"/>
      <c r="I11" s="597"/>
    </row>
    <row r="12" spans="1:23">
      <c r="C12" s="440"/>
      <c r="D12" s="440"/>
      <c r="E12" s="440"/>
    </row>
    <row r="13" spans="1:23" ht="206.25" customHeight="1">
      <c r="B13" s="441" t="s">
        <v>137</v>
      </c>
      <c r="C13" s="567" t="s">
        <v>446</v>
      </c>
      <c r="D13" s="567"/>
      <c r="E13" s="567"/>
      <c r="F13" s="567"/>
      <c r="G13" s="567"/>
      <c r="H13" s="567"/>
      <c r="I13" s="567"/>
      <c r="J13" s="567"/>
    </row>
    <row r="15" spans="1:23">
      <c r="B15" t="s">
        <v>448</v>
      </c>
      <c r="C15" s="482" t="s">
        <v>43</v>
      </c>
      <c r="D15" s="482"/>
      <c r="E15" s="591"/>
      <c r="F15" s="598" t="s">
        <v>439</v>
      </c>
      <c r="G15" s="599"/>
      <c r="H15" s="599"/>
      <c r="I15" s="600"/>
    </row>
    <row r="16" spans="1:23">
      <c r="C16" s="482" t="s">
        <v>44</v>
      </c>
      <c r="D16" s="482"/>
      <c r="E16" s="482"/>
    </row>
    <row r="17" spans="1:29">
      <c r="B17" s="144" t="s">
        <v>449</v>
      </c>
      <c r="C17" s="482" t="s">
        <v>45</v>
      </c>
      <c r="D17" s="482"/>
      <c r="E17" s="591"/>
      <c r="F17" s="598" t="s">
        <v>554</v>
      </c>
      <c r="G17" s="599"/>
      <c r="H17" s="599"/>
      <c r="I17" s="600"/>
    </row>
    <row r="18" spans="1:29">
      <c r="B18" s="144" t="s">
        <v>450</v>
      </c>
      <c r="C18" s="482" t="s">
        <v>46</v>
      </c>
      <c r="D18" s="482"/>
      <c r="E18" s="591"/>
      <c r="F18" s="596" t="s">
        <v>555</v>
      </c>
      <c r="G18" s="596"/>
      <c r="H18" s="596"/>
      <c r="I18" s="596"/>
    </row>
    <row r="19" spans="1:29">
      <c r="B19" s="144" t="s">
        <v>451</v>
      </c>
      <c r="C19" s="482" t="s">
        <v>47</v>
      </c>
      <c r="D19" s="482"/>
      <c r="E19" s="591"/>
      <c r="F19" s="598" t="s">
        <v>556</v>
      </c>
      <c r="G19" s="599"/>
      <c r="H19" s="599"/>
      <c r="I19" s="600"/>
    </row>
    <row r="20" spans="1:29">
      <c r="B20" s="144" t="s">
        <v>452</v>
      </c>
      <c r="C20" s="482" t="s">
        <v>48</v>
      </c>
      <c r="D20" s="482"/>
      <c r="E20" s="591"/>
      <c r="F20" s="598"/>
      <c r="G20" s="599"/>
      <c r="H20" s="599"/>
      <c r="I20" s="600"/>
    </row>
    <row r="21" spans="1:29">
      <c r="B21" s="144" t="s">
        <v>453</v>
      </c>
      <c r="C21" s="482" t="s">
        <v>49</v>
      </c>
      <c r="D21" s="482"/>
      <c r="E21" s="591"/>
      <c r="F21" s="598" t="s">
        <v>557</v>
      </c>
      <c r="G21" s="599"/>
      <c r="H21" s="599"/>
      <c r="I21" s="600"/>
    </row>
    <row r="22" spans="1:29">
      <c r="B22" s="144" t="s">
        <v>454</v>
      </c>
      <c r="C22" s="482" t="s">
        <v>14</v>
      </c>
      <c r="D22" s="482"/>
      <c r="E22" s="591"/>
      <c r="F22" s="598" t="s">
        <v>558</v>
      </c>
      <c r="G22" s="599"/>
      <c r="H22" s="599"/>
      <c r="I22" s="600"/>
    </row>
    <row r="23" spans="1:29">
      <c r="B23" s="144" t="s">
        <v>455</v>
      </c>
      <c r="C23" s="482" t="s">
        <v>50</v>
      </c>
      <c r="D23" s="482"/>
      <c r="E23" s="591"/>
      <c r="F23" s="596">
        <v>78218</v>
      </c>
      <c r="G23" s="596"/>
      <c r="H23" s="596"/>
      <c r="I23" s="596"/>
    </row>
    <row r="25" spans="1:29" ht="15.75">
      <c r="A25" s="346" t="s">
        <v>241</v>
      </c>
      <c r="C25" s="174"/>
      <c r="D25" s="229"/>
      <c r="E25" s="94"/>
      <c r="F25" s="94"/>
      <c r="Q25" s="485"/>
      <c r="R25" s="485"/>
      <c r="S25" s="485"/>
      <c r="T25" s="485"/>
      <c r="U25" s="485"/>
      <c r="V25" s="485"/>
      <c r="W25" s="485"/>
      <c r="X25" s="485"/>
      <c r="Y25" s="485"/>
      <c r="Z25" s="485"/>
      <c r="AA25" s="485"/>
      <c r="AB25" s="485"/>
      <c r="AC25" s="485"/>
    </row>
    <row r="27" spans="1:29" s="145" customFormat="1" ht="114" customHeight="1">
      <c r="A27" s="347" t="str">
        <f>IF(B29="X","X",IF(B30="x","x",IF(B31="X","X",IF(B32="X","X",""))))</f>
        <v>X</v>
      </c>
      <c r="B27" s="567" t="s">
        <v>242</v>
      </c>
      <c r="C27" s="567"/>
      <c r="D27" s="567"/>
      <c r="E27" s="567"/>
      <c r="F27" s="567"/>
      <c r="G27" s="567"/>
      <c r="H27" s="567"/>
      <c r="I27" s="567"/>
      <c r="J27" s="567"/>
      <c r="K27" s="567"/>
      <c r="L27" s="567"/>
      <c r="M27" s="567"/>
      <c r="N27" s="567"/>
      <c r="O27" s="348"/>
    </row>
    <row r="28" spans="1:29">
      <c r="J28" s="191"/>
      <c r="K28" s="191"/>
      <c r="L28" s="191"/>
      <c r="M28" s="524" t="s">
        <v>243</v>
      </c>
      <c r="N28" s="524"/>
    </row>
    <row r="29" spans="1:29" ht="38.25" customHeight="1">
      <c r="A29" s="229"/>
      <c r="B29" s="27" t="s">
        <v>244</v>
      </c>
      <c r="D29" s="603" t="s">
        <v>245</v>
      </c>
      <c r="E29" s="603"/>
      <c r="F29" s="603"/>
      <c r="G29" s="603"/>
      <c r="H29" s="603"/>
      <c r="I29" s="603"/>
      <c r="J29" s="603" t="str">
        <f>IF(B29&lt;&gt;"x","No additional information required","Please enter the name of the management company.")</f>
        <v>Please enter the name of the management company.</v>
      </c>
      <c r="K29" s="603"/>
      <c r="L29" s="603"/>
      <c r="M29" s="592"/>
      <c r="N29" s="592"/>
      <c r="O29" s="397"/>
      <c r="Q29" s="147" t="s">
        <v>244</v>
      </c>
    </row>
    <row r="30" spans="1:29" ht="39" customHeight="1" thickBot="1">
      <c r="A30" s="229"/>
      <c r="B30" s="28" t="s">
        <v>244</v>
      </c>
      <c r="D30" s="603" t="s">
        <v>246</v>
      </c>
      <c r="E30" s="603"/>
      <c r="F30" s="603"/>
      <c r="G30" s="603"/>
      <c r="H30" s="603"/>
      <c r="I30" s="603"/>
      <c r="J30" s="603" t="str">
        <f>IF(B30&lt;&gt;"x","No additional information required","Please enter the name of any other charter holder with identical membership.")</f>
        <v>Please enter the name of any other charter holder with identical membership.</v>
      </c>
      <c r="K30" s="603"/>
      <c r="L30" s="603"/>
      <c r="M30" s="592"/>
      <c r="N30" s="592"/>
      <c r="O30" s="397"/>
      <c r="Q30" s="147" t="s">
        <v>239</v>
      </c>
    </row>
    <row r="31" spans="1:29" ht="27.75" customHeight="1" thickBot="1">
      <c r="A31" s="229"/>
      <c r="B31" s="29" t="s">
        <v>244</v>
      </c>
      <c r="D31" s="603" t="s">
        <v>247</v>
      </c>
      <c r="E31" s="603"/>
      <c r="F31" s="603"/>
      <c r="G31" s="603"/>
      <c r="H31" s="603"/>
      <c r="I31" s="603"/>
      <c r="J31" s="603" t="str">
        <f>IF(B31&lt;&gt;"x","No additional information required","Please enter the name of the corporation.")</f>
        <v>Please enter the name of the corporation.</v>
      </c>
      <c r="K31" s="603"/>
      <c r="L31" s="603"/>
      <c r="M31" s="592"/>
      <c r="N31" s="592"/>
      <c r="O31" s="397"/>
      <c r="Q31" s="147"/>
    </row>
    <row r="32" spans="1:29" ht="27.75" customHeight="1" thickBot="1">
      <c r="A32" s="229"/>
      <c r="B32" s="29" t="s">
        <v>244</v>
      </c>
      <c r="D32" s="619" t="s">
        <v>248</v>
      </c>
      <c r="E32" s="619"/>
      <c r="F32" s="619"/>
      <c r="G32" s="619"/>
      <c r="H32" s="619"/>
      <c r="I32" s="619"/>
      <c r="M32" s="2"/>
      <c r="N32" s="2"/>
      <c r="O32" s="2"/>
    </row>
    <row r="33" spans="1:16">
      <c r="A33" s="229"/>
      <c r="B33" s="229"/>
      <c r="C33" s="128"/>
      <c r="D33" s="128"/>
      <c r="E33" s="128"/>
      <c r="F33" s="128"/>
      <c r="G33" s="128"/>
      <c r="H33" s="128"/>
      <c r="I33" s="128"/>
      <c r="J33" s="128"/>
      <c r="K33" s="128"/>
      <c r="L33" s="128"/>
      <c r="M33" s="128"/>
      <c r="N33" s="128"/>
      <c r="O33" s="128"/>
    </row>
    <row r="34" spans="1:16">
      <c r="B34" s="94" t="s">
        <v>249</v>
      </c>
      <c r="C34" s="94"/>
      <c r="D34" s="94"/>
      <c r="E34" s="94"/>
    </row>
    <row r="35" spans="1:16" ht="80.25" customHeight="1">
      <c r="B35" s="567" t="s">
        <v>489</v>
      </c>
      <c r="C35" s="567"/>
      <c r="D35" s="567"/>
      <c r="E35" s="567"/>
      <c r="F35" s="567"/>
      <c r="G35" s="567"/>
      <c r="H35" s="567"/>
      <c r="I35" s="567"/>
      <c r="J35" s="567"/>
      <c r="K35" s="567"/>
      <c r="L35" s="567"/>
      <c r="M35" s="567"/>
      <c r="N35" s="567"/>
    </row>
    <row r="36" spans="1:16" ht="13.5" customHeight="1">
      <c r="B36" s="112"/>
      <c r="C36" s="112"/>
      <c r="D36" s="112"/>
      <c r="E36" s="112"/>
      <c r="F36" s="112"/>
      <c r="G36" s="112"/>
      <c r="H36" s="112"/>
      <c r="I36" s="112"/>
      <c r="J36" s="112"/>
      <c r="K36" s="112"/>
      <c r="L36" s="112"/>
      <c r="M36" s="112"/>
      <c r="N36" s="112"/>
    </row>
    <row r="37" spans="1:16">
      <c r="B37" s="610" t="s">
        <v>250</v>
      </c>
      <c r="C37" s="610"/>
      <c r="D37" s="610"/>
      <c r="E37" s="610"/>
      <c r="F37" s="517" t="s">
        <v>251</v>
      </c>
      <c r="G37" s="518"/>
      <c r="H37" s="517" t="s">
        <v>252</v>
      </c>
      <c r="I37" s="571"/>
      <c r="J37" s="518"/>
      <c r="K37" s="574" t="s">
        <v>253</v>
      </c>
      <c r="L37" s="575"/>
      <c r="M37" s="576"/>
    </row>
    <row r="38" spans="1:16">
      <c r="B38" s="611" t="s">
        <v>254</v>
      </c>
      <c r="C38" s="612"/>
      <c r="D38" s="612"/>
      <c r="E38" s="613"/>
      <c r="F38" s="609"/>
      <c r="G38" s="605"/>
      <c r="H38" s="349"/>
      <c r="I38" s="604"/>
      <c r="J38" s="605"/>
      <c r="K38" s="275"/>
      <c r="L38" s="604"/>
      <c r="M38" s="605"/>
      <c r="N38" s="191"/>
    </row>
    <row r="39" spans="1:16">
      <c r="B39" s="606" t="s">
        <v>255</v>
      </c>
      <c r="C39" s="607"/>
      <c r="D39" s="607"/>
      <c r="E39" s="608"/>
      <c r="F39" s="350"/>
      <c r="G39" s="351"/>
      <c r="H39" s="352" t="s">
        <v>256</v>
      </c>
      <c r="I39" s="581"/>
      <c r="J39" s="582"/>
      <c r="K39" s="393" t="s">
        <v>256</v>
      </c>
      <c r="L39" s="583"/>
      <c r="M39" s="584"/>
      <c r="N39" s="191"/>
    </row>
    <row r="40" spans="1:16">
      <c r="B40" s="606" t="s">
        <v>257</v>
      </c>
      <c r="C40" s="607"/>
      <c r="D40" s="607"/>
      <c r="E40" s="608"/>
      <c r="F40" s="350"/>
      <c r="G40" s="351"/>
      <c r="H40" s="352" t="s">
        <v>256</v>
      </c>
      <c r="I40" s="581"/>
      <c r="J40" s="582"/>
      <c r="K40" s="393" t="s">
        <v>256</v>
      </c>
      <c r="L40" s="583"/>
      <c r="M40" s="584"/>
    </row>
    <row r="41" spans="1:16">
      <c r="B41" s="614" t="s">
        <v>258</v>
      </c>
      <c r="C41" s="615"/>
      <c r="D41" s="615"/>
      <c r="E41" s="616"/>
      <c r="F41" s="75" t="s">
        <v>259</v>
      </c>
      <c r="G41" s="353">
        <f>F38</f>
        <v>0</v>
      </c>
      <c r="H41" s="401" t="s">
        <v>259</v>
      </c>
      <c r="I41" s="579">
        <f>I38+I39+I40</f>
        <v>0</v>
      </c>
      <c r="J41" s="580"/>
      <c r="K41" s="75" t="s">
        <v>259</v>
      </c>
      <c r="L41" s="579">
        <f>L38+L39+L40</f>
        <v>0</v>
      </c>
      <c r="M41" s="580"/>
    </row>
    <row r="43" spans="1:16">
      <c r="B43" s="94" t="s">
        <v>260</v>
      </c>
    </row>
    <row r="44" spans="1:16" ht="26.25" customHeight="1">
      <c r="B44" s="567" t="s">
        <v>261</v>
      </c>
      <c r="C44" s="567"/>
      <c r="D44" s="567"/>
      <c r="E44" s="567"/>
      <c r="F44" s="567"/>
      <c r="G44" s="567"/>
      <c r="H44" s="567"/>
      <c r="I44" s="567"/>
      <c r="J44" s="567"/>
      <c r="K44" s="567"/>
      <c r="L44" s="567"/>
      <c r="M44" s="567"/>
      <c r="N44" s="567"/>
    </row>
    <row r="45" spans="1:16">
      <c r="B45" s="354"/>
      <c r="C45" s="355"/>
      <c r="D45" s="355"/>
      <c r="E45" s="355"/>
      <c r="F45" s="355"/>
      <c r="G45" s="355"/>
      <c r="H45" s="355"/>
      <c r="I45" s="355"/>
      <c r="J45" s="355"/>
      <c r="K45" s="355"/>
      <c r="L45" s="355"/>
      <c r="M45" s="355"/>
    </row>
    <row r="46" spans="1:16">
      <c r="B46" s="400" t="s">
        <v>250</v>
      </c>
      <c r="C46" s="400"/>
      <c r="D46" s="400"/>
      <c r="E46" s="400"/>
      <c r="F46" s="517" t="s">
        <v>251</v>
      </c>
      <c r="G46" s="518"/>
      <c r="H46" s="517" t="s">
        <v>252</v>
      </c>
      <c r="I46" s="571"/>
      <c r="J46" s="518"/>
      <c r="K46" s="574" t="s">
        <v>253</v>
      </c>
      <c r="L46" s="575"/>
      <c r="M46" s="576"/>
    </row>
    <row r="47" spans="1:16">
      <c r="B47" s="401" t="s">
        <v>254</v>
      </c>
      <c r="C47" s="402"/>
      <c r="D47" s="403"/>
      <c r="F47" s="53"/>
      <c r="G47" s="33"/>
      <c r="I47" s="617"/>
      <c r="J47" s="618"/>
      <c r="K47" s="401"/>
      <c r="L47" s="617"/>
      <c r="M47" s="618"/>
      <c r="P47" s="3"/>
    </row>
    <row r="48" spans="1:16">
      <c r="B48" s="75" t="s">
        <v>255</v>
      </c>
      <c r="C48" s="226"/>
      <c r="D48" s="356"/>
      <c r="E48" s="357"/>
      <c r="F48" s="358"/>
      <c r="G48" s="359"/>
      <c r="H48" s="226" t="s">
        <v>256</v>
      </c>
      <c r="I48" s="581"/>
      <c r="J48" s="582"/>
      <c r="K48" s="75" t="s">
        <v>256</v>
      </c>
      <c r="L48" s="583"/>
      <c r="M48" s="584"/>
    </row>
    <row r="49" spans="1:21">
      <c r="B49" s="75" t="s">
        <v>257</v>
      </c>
      <c r="C49" s="226"/>
      <c r="D49" s="226"/>
      <c r="E49" s="360"/>
      <c r="F49" s="358"/>
      <c r="G49" s="359"/>
      <c r="H49" s="226" t="s">
        <v>256</v>
      </c>
      <c r="I49" s="581"/>
      <c r="J49" s="582"/>
      <c r="K49" s="75" t="s">
        <v>256</v>
      </c>
      <c r="L49" s="583"/>
      <c r="M49" s="584"/>
    </row>
    <row r="50" spans="1:21">
      <c r="B50" s="401" t="s">
        <v>258</v>
      </c>
      <c r="C50" s="402"/>
      <c r="D50" s="403"/>
      <c r="E50" s="401"/>
      <c r="F50" s="401" t="s">
        <v>259</v>
      </c>
      <c r="G50" s="353">
        <f>G47</f>
        <v>0</v>
      </c>
      <c r="H50" s="75" t="s">
        <v>259</v>
      </c>
      <c r="I50" s="579">
        <f>I47+I48+I49</f>
        <v>0</v>
      </c>
      <c r="J50" s="580"/>
      <c r="K50" s="75" t="s">
        <v>259</v>
      </c>
      <c r="L50" s="572">
        <f>L47+L48+L49</f>
        <v>0</v>
      </c>
      <c r="M50" s="573"/>
    </row>
    <row r="51" spans="1:21">
      <c r="B51" s="87"/>
    </row>
    <row r="52" spans="1:21">
      <c r="A52" s="361"/>
      <c r="B52" s="361"/>
      <c r="C52" s="362"/>
      <c r="D52" s="362"/>
      <c r="E52" s="363"/>
      <c r="F52" s="363"/>
      <c r="G52" s="362"/>
      <c r="H52" s="362"/>
      <c r="I52" s="364"/>
      <c r="K52" s="364"/>
    </row>
    <row r="53" spans="1:21" ht="15.75" customHeight="1">
      <c r="A53" s="365" t="s">
        <v>262</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263</v>
      </c>
      <c r="C55" s="94"/>
      <c r="D55" s="94"/>
      <c r="E55" s="94"/>
      <c r="G55" s="366"/>
      <c r="H55" s="366"/>
      <c r="I55" s="366"/>
      <c r="J55" s="366"/>
      <c r="K55" s="366"/>
      <c r="L55" s="366"/>
      <c r="M55" s="366"/>
      <c r="N55" s="366"/>
      <c r="O55" s="366"/>
    </row>
    <row r="56" spans="1:21" ht="137.25" customHeight="1">
      <c r="A56" s="94"/>
      <c r="B56" s="567" t="s">
        <v>461</v>
      </c>
      <c r="C56" s="567"/>
      <c r="D56" s="567"/>
      <c r="E56" s="567"/>
      <c r="F56" s="567"/>
      <c r="G56" s="567"/>
      <c r="H56" s="567"/>
      <c r="I56" s="567"/>
      <c r="J56" s="567"/>
      <c r="K56" s="567"/>
      <c r="L56" s="567"/>
      <c r="M56" s="567"/>
      <c r="N56" s="567"/>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254</v>
      </c>
      <c r="J58" s="405" t="s">
        <v>264</v>
      </c>
      <c r="K58" s="577" t="s">
        <v>265</v>
      </c>
      <c r="L58" s="578"/>
      <c r="M58" s="368"/>
      <c r="O58" s="368"/>
      <c r="P58" s="368"/>
      <c r="R58" s="368"/>
      <c r="S58" s="368"/>
      <c r="U58" s="136"/>
    </row>
    <row r="59" spans="1:21">
      <c r="A59" s="390"/>
      <c r="B59" s="390">
        <v>1</v>
      </c>
      <c r="C59" s="145" t="s">
        <v>268</v>
      </c>
      <c r="I59" s="34"/>
      <c r="J59" s="35"/>
      <c r="K59" s="565"/>
      <c r="L59" s="566"/>
      <c r="M59" s="370"/>
      <c r="N59" s="108"/>
      <c r="O59" s="366"/>
      <c r="P59" s="370"/>
      <c r="R59" s="366"/>
      <c r="S59" s="370"/>
    </row>
    <row r="60" spans="1:21">
      <c r="A60" s="390"/>
      <c r="B60" s="390">
        <v>2</v>
      </c>
      <c r="C60" s="145" t="s">
        <v>267</v>
      </c>
      <c r="I60" s="34"/>
      <c r="J60" s="35"/>
      <c r="K60" s="565"/>
      <c r="L60" s="566"/>
      <c r="M60" s="370"/>
      <c r="N60" s="108"/>
      <c r="O60" s="366"/>
      <c r="P60" s="370"/>
      <c r="R60" s="366"/>
      <c r="S60" s="370"/>
    </row>
    <row r="61" spans="1:21">
      <c r="A61" s="390"/>
      <c r="B61" s="390">
        <v>3</v>
      </c>
      <c r="C61" s="145" t="s">
        <v>266</v>
      </c>
      <c r="I61" s="34"/>
      <c r="J61" s="35"/>
      <c r="K61" s="565"/>
      <c r="L61" s="566"/>
      <c r="M61" s="370"/>
      <c r="P61" s="370"/>
      <c r="R61" s="366"/>
      <c r="S61" s="370"/>
    </row>
    <row r="62" spans="1:21">
      <c r="A62" s="390"/>
      <c r="B62" s="390">
        <v>4</v>
      </c>
      <c r="C62" s="145" t="s">
        <v>269</v>
      </c>
      <c r="I62" s="34"/>
      <c r="J62" s="35"/>
      <c r="K62" s="565"/>
      <c r="L62" s="566"/>
      <c r="M62" s="370"/>
      <c r="N62" s="108"/>
      <c r="O62" s="366"/>
      <c r="P62" s="370"/>
      <c r="R62" s="366"/>
      <c r="S62" s="370"/>
    </row>
    <row r="63" spans="1:21">
      <c r="A63" s="390"/>
      <c r="B63" s="390">
        <v>5</v>
      </c>
      <c r="C63" s="145" t="s">
        <v>270</v>
      </c>
      <c r="I63" s="34"/>
      <c r="J63" s="35"/>
      <c r="K63" s="565"/>
      <c r="L63" s="566"/>
      <c r="M63" s="370"/>
      <c r="N63" s="108"/>
      <c r="R63" s="366"/>
      <c r="S63" s="370"/>
    </row>
    <row r="64" spans="1:21">
      <c r="A64" s="390"/>
      <c r="B64" s="390">
        <v>6</v>
      </c>
      <c r="C64" s="145" t="s">
        <v>271</v>
      </c>
      <c r="I64" s="34"/>
      <c r="J64" s="35"/>
      <c r="K64" s="565"/>
      <c r="L64" s="566"/>
      <c r="M64" s="370"/>
      <c r="N64" s="108"/>
      <c r="O64" s="366"/>
      <c r="P64" s="370"/>
      <c r="R64" s="366"/>
      <c r="S64" s="370"/>
    </row>
    <row r="65" spans="1:19">
      <c r="A65" s="390"/>
      <c r="B65" s="390">
        <v>7</v>
      </c>
      <c r="C65" s="145" t="s">
        <v>272</v>
      </c>
      <c r="I65" s="34"/>
      <c r="J65" s="35"/>
      <c r="K65" s="565"/>
      <c r="L65" s="566"/>
      <c r="M65" s="370"/>
      <c r="N65" s="108"/>
      <c r="O65" s="366"/>
      <c r="P65" s="370"/>
      <c r="R65" s="366"/>
      <c r="S65" s="370"/>
    </row>
    <row r="66" spans="1:19">
      <c r="A66" s="390"/>
      <c r="B66" s="390">
        <v>8</v>
      </c>
      <c r="C66" s="145" t="s">
        <v>273</v>
      </c>
      <c r="I66" s="34"/>
      <c r="J66" s="35"/>
      <c r="K66" s="565"/>
      <c r="L66" s="566"/>
      <c r="M66" s="370"/>
      <c r="N66" s="108"/>
      <c r="O66" s="366"/>
      <c r="P66" s="370"/>
      <c r="R66" s="366"/>
      <c r="S66" s="370"/>
    </row>
    <row r="67" spans="1:19">
      <c r="A67" s="390"/>
      <c r="B67" s="390">
        <v>9</v>
      </c>
      <c r="C67" s="145" t="s">
        <v>274</v>
      </c>
      <c r="I67" s="34"/>
      <c r="J67" s="35"/>
      <c r="K67" s="565"/>
      <c r="L67" s="566"/>
      <c r="M67" s="370"/>
      <c r="N67" s="108"/>
      <c r="O67" s="366"/>
      <c r="P67" s="370"/>
      <c r="R67" s="366"/>
      <c r="S67" s="370"/>
    </row>
    <row r="68" spans="1:19">
      <c r="A68" s="390"/>
      <c r="B68" s="390">
        <v>10</v>
      </c>
      <c r="C68" s="145" t="s">
        <v>275</v>
      </c>
      <c r="I68" s="34"/>
      <c r="J68" s="371"/>
      <c r="K68" s="585"/>
      <c r="L68" s="586"/>
      <c r="M68" s="370"/>
      <c r="N68" s="108"/>
      <c r="O68" s="366"/>
      <c r="P68" s="370"/>
      <c r="R68" s="366"/>
      <c r="S68" s="370"/>
    </row>
    <row r="69" spans="1:19">
      <c r="A69" s="390"/>
      <c r="B69" s="390">
        <v>11</v>
      </c>
      <c r="C69" s="145" t="s">
        <v>276</v>
      </c>
      <c r="I69" s="34"/>
      <c r="J69" s="35"/>
      <c r="K69" s="565"/>
      <c r="L69" s="566"/>
      <c r="M69" s="370"/>
      <c r="N69" s="108"/>
      <c r="O69" s="366"/>
      <c r="P69" s="370"/>
      <c r="R69" s="366"/>
      <c r="S69" s="370"/>
    </row>
    <row r="70" spans="1:19">
      <c r="A70" s="390"/>
      <c r="B70" s="390">
        <v>12</v>
      </c>
      <c r="C70" s="145" t="s">
        <v>277</v>
      </c>
      <c r="I70" s="34"/>
      <c r="J70" s="35"/>
      <c r="K70" s="565"/>
      <c r="L70" s="566"/>
      <c r="M70" s="370"/>
      <c r="N70" s="108"/>
      <c r="O70" s="366"/>
      <c r="P70" s="370"/>
      <c r="R70" s="366"/>
      <c r="S70" s="370"/>
    </row>
    <row r="71" spans="1:19">
      <c r="A71" s="390"/>
      <c r="B71" s="390">
        <v>13</v>
      </c>
      <c r="C71" s="145" t="s">
        <v>278</v>
      </c>
      <c r="I71" s="34"/>
      <c r="J71" s="35"/>
      <c r="K71" s="565"/>
      <c r="L71" s="566"/>
      <c r="M71" s="370"/>
      <c r="N71" s="108"/>
      <c r="O71" s="366"/>
      <c r="P71" s="370"/>
      <c r="R71" s="366"/>
      <c r="S71" s="370"/>
    </row>
    <row r="72" spans="1:19">
      <c r="A72" s="390"/>
      <c r="B72" s="390">
        <v>14</v>
      </c>
      <c r="C72" s="145" t="s">
        <v>279</v>
      </c>
      <c r="I72" s="34"/>
      <c r="J72" s="35"/>
      <c r="K72" s="565"/>
      <c r="L72" s="566"/>
      <c r="M72" s="370"/>
      <c r="N72" s="108"/>
      <c r="O72" s="366"/>
      <c r="P72" s="370"/>
      <c r="R72" s="366"/>
      <c r="S72" s="370"/>
    </row>
    <row r="73" spans="1:19">
      <c r="A73" s="390"/>
      <c r="B73" s="390">
        <v>15</v>
      </c>
      <c r="C73" s="121" t="s">
        <v>444</v>
      </c>
      <c r="D73" s="121"/>
      <c r="E73" s="121"/>
      <c r="F73" s="121"/>
      <c r="G73" s="121"/>
      <c r="I73" s="34"/>
      <c r="J73" s="35"/>
      <c r="K73" s="565"/>
      <c r="L73" s="566"/>
      <c r="M73" s="370"/>
      <c r="N73" s="108"/>
      <c r="O73" s="108"/>
      <c r="P73" s="370"/>
      <c r="R73" s="370"/>
      <c r="S73" s="370"/>
    </row>
    <row r="74" spans="1:19">
      <c r="A74" s="390"/>
      <c r="B74" s="390">
        <v>16</v>
      </c>
      <c r="C74" s="372" t="s">
        <v>445</v>
      </c>
      <c r="D74" s="191"/>
      <c r="E74" s="191"/>
      <c r="I74" s="34"/>
      <c r="J74" s="35"/>
      <c r="K74" s="565"/>
      <c r="L74" s="566"/>
      <c r="M74" s="370"/>
      <c r="N74" s="108"/>
      <c r="O74" s="366"/>
      <c r="P74" s="370"/>
      <c r="R74" s="366"/>
      <c r="S74" s="370"/>
    </row>
    <row r="75" spans="1:19">
      <c r="A75" s="390"/>
      <c r="B75" s="390">
        <v>17</v>
      </c>
      <c r="C75" t="s">
        <v>280</v>
      </c>
      <c r="D75" s="191"/>
      <c r="E75" s="191"/>
      <c r="I75" s="369">
        <f>SUM(I59:I74)</f>
        <v>0</v>
      </c>
      <c r="J75" s="373">
        <f>SUM(J59:J74)</f>
        <v>0</v>
      </c>
      <c r="K75" s="568">
        <f>SUM(K59:K74)</f>
        <v>0</v>
      </c>
      <c r="L75" s="569"/>
      <c r="M75" s="370"/>
      <c r="N75" s="108"/>
      <c r="O75" s="108"/>
      <c r="P75" s="370"/>
      <c r="R75" s="370"/>
      <c r="S75" s="370"/>
    </row>
    <row r="76" spans="1:19" ht="14.25" customHeight="1">
      <c r="A76" s="390"/>
      <c r="B76" s="374" t="s">
        <v>281</v>
      </c>
      <c r="C76" s="145" t="s">
        <v>282</v>
      </c>
      <c r="D76" s="145"/>
      <c r="E76" s="145"/>
      <c r="F76" s="145"/>
      <c r="G76" s="145"/>
      <c r="H76" s="145"/>
      <c r="I76" s="375"/>
      <c r="J76" s="376"/>
      <c r="K76" s="377"/>
      <c r="L76" s="377"/>
      <c r="M76" s="378"/>
      <c r="N76" s="379"/>
      <c r="O76" s="108"/>
      <c r="P76" s="370"/>
      <c r="R76" s="370"/>
      <c r="S76" s="370"/>
    </row>
    <row r="77" spans="1:19" ht="14.25" customHeight="1">
      <c r="A77" s="390"/>
      <c r="B77" s="374" t="s">
        <v>283</v>
      </c>
      <c r="C77" s="145" t="s">
        <v>284</v>
      </c>
      <c r="D77" s="145"/>
      <c r="E77" s="145"/>
      <c r="F77" s="145"/>
      <c r="G77" s="145"/>
      <c r="H77" s="145"/>
      <c r="I77" s="375"/>
      <c r="J77" s="376"/>
      <c r="K77" s="377"/>
      <c r="L77" s="377"/>
      <c r="M77" s="378"/>
      <c r="N77" s="379"/>
      <c r="O77" s="108"/>
      <c r="P77" s="370"/>
      <c r="R77" s="370"/>
      <c r="S77" s="370"/>
    </row>
    <row r="78" spans="1:19">
      <c r="A78" s="390"/>
      <c r="B78" s="374" t="s">
        <v>285</v>
      </c>
      <c r="C78" s="510" t="s">
        <v>286</v>
      </c>
      <c r="D78" s="510"/>
      <c r="E78" s="510"/>
      <c r="F78" s="510"/>
      <c r="G78" s="510"/>
      <c r="H78" s="510"/>
      <c r="I78" s="510"/>
      <c r="J78" s="510"/>
      <c r="K78" s="510"/>
      <c r="L78" s="510"/>
      <c r="M78" s="510"/>
      <c r="N78" s="510"/>
      <c r="O78" s="108"/>
      <c r="P78" s="370"/>
      <c r="R78" s="370"/>
      <c r="S78" s="370"/>
    </row>
    <row r="79" spans="1:19">
      <c r="A79" s="390"/>
      <c r="B79" s="266"/>
      <c r="C79" s="510"/>
      <c r="D79" s="510"/>
      <c r="E79" s="510"/>
      <c r="F79" s="510"/>
      <c r="G79" s="510"/>
      <c r="H79" s="510"/>
      <c r="I79" s="510"/>
      <c r="J79" s="510"/>
      <c r="K79" s="510"/>
      <c r="L79" s="510"/>
      <c r="M79" s="510"/>
      <c r="N79" s="510"/>
      <c r="O79" s="108"/>
      <c r="P79" s="370"/>
      <c r="R79" s="370"/>
      <c r="S79" s="370"/>
    </row>
    <row r="80" spans="1:19" ht="12.75" customHeight="1">
      <c r="A80" s="390"/>
      <c r="B80" s="374" t="s">
        <v>287</v>
      </c>
      <c r="C80" s="570" t="s">
        <v>456</v>
      </c>
      <c r="D80" s="570"/>
      <c r="E80" s="570"/>
      <c r="F80" s="570"/>
      <c r="G80" s="570"/>
      <c r="H80" s="570"/>
      <c r="I80" s="570"/>
      <c r="J80" s="570"/>
      <c r="K80" s="570"/>
      <c r="L80" s="570"/>
      <c r="M80" s="570"/>
      <c r="N80" s="570"/>
      <c r="O80" s="570"/>
      <c r="P80" s="370"/>
      <c r="R80" s="370"/>
      <c r="S80" s="370"/>
    </row>
    <row r="81" spans="1:19" ht="13.5" customHeight="1">
      <c r="C81" s="570"/>
      <c r="D81" s="570"/>
      <c r="E81" s="570"/>
      <c r="F81" s="570"/>
      <c r="G81" s="570"/>
      <c r="H81" s="570"/>
      <c r="I81" s="570"/>
      <c r="J81" s="570"/>
      <c r="K81" s="570"/>
      <c r="L81" s="570"/>
      <c r="M81" s="570"/>
      <c r="N81" s="570"/>
      <c r="O81" s="570"/>
      <c r="P81" s="380"/>
      <c r="Q81" s="380"/>
      <c r="R81" s="380"/>
      <c r="S81" s="380"/>
    </row>
    <row r="82" spans="1:19" ht="15.75">
      <c r="A82" s="365"/>
      <c r="B82" s="374" t="s">
        <v>288</v>
      </c>
      <c r="C82" s="145" t="s">
        <v>490</v>
      </c>
      <c r="D82" s="380"/>
      <c r="E82" s="380"/>
      <c r="F82" s="380"/>
      <c r="G82" s="380"/>
      <c r="H82" s="380"/>
      <c r="I82" s="380"/>
      <c r="J82" s="380"/>
      <c r="K82" s="380"/>
      <c r="L82" s="380"/>
      <c r="M82" s="380"/>
      <c r="N82" s="380"/>
      <c r="O82" s="380"/>
      <c r="P82" s="380"/>
      <c r="Q82" s="380"/>
      <c r="R82" s="380"/>
      <c r="S82" s="380"/>
    </row>
    <row r="83" spans="1:19" ht="15.75">
      <c r="A83" s="365"/>
      <c r="D83" s="381"/>
      <c r="E83" s="381"/>
      <c r="F83" s="381"/>
      <c r="G83" s="381"/>
      <c r="H83" s="381"/>
      <c r="I83" s="381"/>
      <c r="J83" s="381"/>
      <c r="K83" s="381"/>
      <c r="L83" s="381"/>
      <c r="M83" s="381"/>
      <c r="N83" s="381"/>
      <c r="O83" s="381"/>
      <c r="P83" s="381"/>
      <c r="Q83" s="380"/>
      <c r="R83" s="380"/>
      <c r="S83" s="380"/>
    </row>
    <row r="84" spans="1:19" ht="16.5" thickBot="1">
      <c r="A84" s="365" t="s">
        <v>289</v>
      </c>
    </row>
    <row r="85" spans="1:19" ht="13.5" thickBot="1">
      <c r="B85" s="382">
        <v>1</v>
      </c>
      <c r="C85" s="30"/>
      <c r="D85" s="499" t="s">
        <v>290</v>
      </c>
      <c r="E85" s="499"/>
      <c r="F85" s="499"/>
      <c r="G85" s="499"/>
      <c r="H85" s="499"/>
      <c r="I85" s="499"/>
      <c r="J85" s="499"/>
      <c r="K85" s="499"/>
      <c r="L85" s="499"/>
      <c r="M85" s="406"/>
      <c r="N85" s="383"/>
      <c r="O85" s="362"/>
      <c r="P85" s="362"/>
    </row>
    <row r="86" spans="1:19" ht="78" customHeight="1">
      <c r="B86" s="382"/>
      <c r="C86" s="567" t="s">
        <v>491</v>
      </c>
      <c r="D86" s="567"/>
      <c r="E86" s="567"/>
      <c r="F86" s="567"/>
      <c r="G86" s="567"/>
      <c r="H86" s="567"/>
      <c r="I86" s="567"/>
      <c r="J86" s="567"/>
      <c r="M86" s="406"/>
      <c r="N86" s="383"/>
    </row>
    <row r="87" spans="1:19">
      <c r="B87" s="382"/>
      <c r="C87" s="134"/>
      <c r="D87" s="134"/>
      <c r="E87" s="134"/>
      <c r="F87" s="134"/>
      <c r="G87" s="134"/>
      <c r="H87" s="134"/>
      <c r="M87" s="406"/>
      <c r="N87" s="383"/>
    </row>
    <row r="88" spans="1:19">
      <c r="B88" s="382">
        <v>2</v>
      </c>
      <c r="C88" t="s">
        <v>291</v>
      </c>
      <c r="M88" s="406" t="s">
        <v>6</v>
      </c>
      <c r="N88" s="31"/>
    </row>
    <row r="89" spans="1:19" ht="138.75" customHeight="1">
      <c r="B89" s="382"/>
      <c r="C89" s="567" t="s">
        <v>292</v>
      </c>
      <c r="D89" s="567"/>
      <c r="E89" s="567"/>
      <c r="F89" s="567"/>
      <c r="G89" s="567"/>
      <c r="H89" s="567"/>
      <c r="I89" s="567"/>
      <c r="J89" s="567"/>
      <c r="M89" s="406"/>
      <c r="N89" s="383"/>
    </row>
    <row r="90" spans="1:19" ht="165" customHeight="1">
      <c r="B90" s="382"/>
      <c r="C90" s="567" t="s">
        <v>293</v>
      </c>
      <c r="D90" s="567"/>
      <c r="E90" s="567"/>
      <c r="F90" s="567"/>
      <c r="G90" s="567"/>
      <c r="H90" s="567"/>
      <c r="I90" s="567"/>
      <c r="J90" s="567"/>
      <c r="K90" s="112"/>
      <c r="L90" s="112"/>
      <c r="M90" s="406"/>
      <c r="N90" s="383"/>
    </row>
    <row r="91" spans="1:19">
      <c r="B91" s="382"/>
      <c r="C91" s="134"/>
      <c r="D91" s="134"/>
      <c r="E91" s="134"/>
      <c r="F91" s="134"/>
      <c r="G91" s="134"/>
      <c r="H91" s="134"/>
      <c r="M91" s="406"/>
      <c r="N91" s="383"/>
    </row>
    <row r="92" spans="1:19">
      <c r="B92" s="382">
        <v>3</v>
      </c>
      <c r="C92" t="s">
        <v>492</v>
      </c>
      <c r="M92" s="406" t="s">
        <v>6</v>
      </c>
      <c r="N92" s="31">
        <v>25000</v>
      </c>
    </row>
    <row r="93" spans="1:19" ht="98.25" customHeight="1">
      <c r="B93" s="382"/>
      <c r="C93" s="567" t="s">
        <v>493</v>
      </c>
      <c r="D93" s="567"/>
      <c r="E93" s="567"/>
      <c r="F93" s="567"/>
      <c r="G93" s="567"/>
      <c r="H93" s="567"/>
      <c r="I93" s="567"/>
      <c r="J93" s="567"/>
      <c r="M93" s="406"/>
      <c r="N93" s="383"/>
    </row>
    <row r="94" spans="1:19">
      <c r="B94" s="382"/>
      <c r="C94" s="134"/>
      <c r="D94" s="134"/>
      <c r="E94" s="134"/>
      <c r="F94" s="134"/>
      <c r="M94" s="406"/>
      <c r="N94" s="383"/>
    </row>
    <row r="95" spans="1:19" ht="14.25" customHeight="1">
      <c r="B95" s="210">
        <v>4</v>
      </c>
      <c r="C95" t="s">
        <v>494</v>
      </c>
      <c r="M95" s="406" t="s">
        <v>6</v>
      </c>
      <c r="N95" s="31"/>
    </row>
    <row r="96" spans="1:19" ht="53.25" customHeight="1">
      <c r="C96" s="567" t="s">
        <v>495</v>
      </c>
      <c r="D96" s="567"/>
      <c r="E96" s="567"/>
      <c r="F96" s="567"/>
      <c r="G96" s="567"/>
      <c r="H96" s="567"/>
      <c r="I96" s="567"/>
      <c r="J96" s="567"/>
    </row>
    <row r="97" spans="1:28">
      <c r="C97" s="397"/>
      <c r="D97" s="397"/>
      <c r="E97" s="397"/>
      <c r="F97" s="397"/>
      <c r="G97" s="397"/>
      <c r="H97" s="397"/>
      <c r="I97" s="397"/>
      <c r="J97" s="397"/>
    </row>
    <row r="98" spans="1:28" s="191" customFormat="1">
      <c r="B98" s="210">
        <v>5</v>
      </c>
      <c r="C98" t="s">
        <v>294</v>
      </c>
      <c r="M98" s="406" t="s">
        <v>6</v>
      </c>
      <c r="N98" s="31"/>
    </row>
    <row r="99" spans="1:28" s="191" customFormat="1" ht="85.5" customHeight="1">
      <c r="C99" s="567" t="s">
        <v>295</v>
      </c>
      <c r="D99" s="567"/>
      <c r="E99" s="567"/>
      <c r="F99" s="567"/>
      <c r="G99" s="567"/>
      <c r="H99" s="567"/>
      <c r="I99" s="567"/>
      <c r="J99" s="567"/>
    </row>
    <row r="100" spans="1:28" ht="13.5" customHeight="1"/>
    <row r="101" spans="1:28" ht="15.75">
      <c r="A101" s="563" t="s">
        <v>537</v>
      </c>
      <c r="B101" s="563"/>
      <c r="C101" s="563"/>
      <c r="D101" s="563"/>
      <c r="E101" s="563"/>
      <c r="F101" s="563"/>
      <c r="G101" s="563"/>
      <c r="H101" s="563"/>
      <c r="I101" s="563"/>
      <c r="J101" s="563"/>
      <c r="K101" s="563"/>
      <c r="L101" s="563"/>
      <c r="M101" s="563"/>
      <c r="N101" s="563"/>
      <c r="O101" s="563"/>
      <c r="P101" s="443"/>
      <c r="U101" s="191"/>
      <c r="V101" s="362"/>
      <c r="W101" s="147"/>
      <c r="X101" s="147"/>
      <c r="Y101" s="147"/>
      <c r="Z101" s="147"/>
      <c r="AA101" s="147"/>
      <c r="AB101" s="147"/>
    </row>
    <row r="102" spans="1:28">
      <c r="B102" s="144"/>
      <c r="C102" s="455"/>
      <c r="D102" s="455"/>
      <c r="E102" s="455"/>
      <c r="U102" s="191"/>
      <c r="V102" s="362"/>
      <c r="W102" s="147"/>
      <c r="X102" s="147"/>
      <c r="Y102" s="147"/>
      <c r="Z102" s="147"/>
      <c r="AA102" s="147"/>
      <c r="AB102" s="147"/>
    </row>
    <row r="103" spans="1:28">
      <c r="B103" s="382">
        <v>1</v>
      </c>
      <c r="C103" t="s">
        <v>510</v>
      </c>
      <c r="M103" s="406" t="s">
        <v>6</v>
      </c>
      <c r="N103" s="31"/>
      <c r="U103" s="191"/>
      <c r="V103" s="456"/>
      <c r="W103" s="147"/>
      <c r="X103" s="147"/>
      <c r="Y103" s="147"/>
      <c r="Z103" s="147"/>
      <c r="AA103" s="147"/>
      <c r="AB103" s="147"/>
    </row>
    <row r="104" spans="1:28" ht="135" customHeight="1">
      <c r="C104" s="564" t="s">
        <v>538</v>
      </c>
      <c r="D104" s="564"/>
      <c r="E104" s="564"/>
      <c r="F104" s="564"/>
      <c r="G104" s="564"/>
      <c r="H104" s="564"/>
      <c r="I104" s="564"/>
      <c r="J104" s="564"/>
      <c r="U104" s="191"/>
      <c r="V104" s="362"/>
      <c r="W104" s="147"/>
      <c r="X104" s="147"/>
      <c r="Y104" s="147"/>
      <c r="Z104" s="147"/>
      <c r="AA104" s="147"/>
      <c r="AB104" s="147"/>
    </row>
    <row r="105" spans="1:28">
      <c r="U105" s="191"/>
      <c r="V105" s="456"/>
      <c r="W105" s="147"/>
      <c r="X105" s="147"/>
      <c r="Y105" s="147"/>
      <c r="Z105" s="147"/>
      <c r="AA105" s="147"/>
      <c r="AB105" s="147"/>
    </row>
    <row r="106" spans="1:28" ht="15.75">
      <c r="A106" s="563" t="s">
        <v>539</v>
      </c>
      <c r="B106" s="563"/>
      <c r="C106" s="563"/>
      <c r="D106" s="563"/>
      <c r="E106" s="563"/>
      <c r="F106" s="563"/>
      <c r="G106" s="563"/>
      <c r="H106" s="563"/>
      <c r="I106" s="563"/>
      <c r="J106" s="563"/>
      <c r="K106" s="563"/>
      <c r="L106" s="563"/>
      <c r="M106" s="563"/>
      <c r="N106" s="563"/>
      <c r="O106" s="563"/>
      <c r="P106" s="563"/>
      <c r="U106" s="191"/>
      <c r="V106" s="456"/>
      <c r="W106" s="147"/>
      <c r="X106" s="147"/>
      <c r="Y106" s="147"/>
      <c r="Z106" s="147"/>
      <c r="AA106" s="147"/>
      <c r="AB106" s="147"/>
    </row>
    <row r="107" spans="1:28">
      <c r="U107" s="191"/>
      <c r="V107" s="456"/>
      <c r="W107" s="147"/>
      <c r="X107" s="147"/>
      <c r="Y107" s="147"/>
      <c r="Z107" s="147"/>
      <c r="AA107" s="147"/>
      <c r="AB107" s="147"/>
    </row>
    <row r="108" spans="1:28">
      <c r="B108" s="382">
        <v>1</v>
      </c>
      <c r="C108" t="s">
        <v>511</v>
      </c>
      <c r="M108" s="406" t="s">
        <v>6</v>
      </c>
      <c r="N108" s="31"/>
      <c r="U108" s="191"/>
      <c r="V108" s="190"/>
      <c r="W108" s="147"/>
      <c r="X108" s="147"/>
      <c r="Y108" s="147"/>
      <c r="Z108" s="147"/>
      <c r="AA108" s="147"/>
      <c r="AB108" s="147"/>
    </row>
    <row r="109" spans="1:28" ht="70.5" customHeight="1">
      <c r="C109" s="564" t="s">
        <v>540</v>
      </c>
      <c r="D109" s="564"/>
      <c r="E109" s="564"/>
      <c r="F109" s="564"/>
      <c r="G109" s="564"/>
      <c r="H109" s="564"/>
      <c r="I109" s="564"/>
      <c r="J109" s="564"/>
      <c r="V109" s="147" t="s">
        <v>439</v>
      </c>
      <c r="W109" s="147"/>
      <c r="X109" s="147"/>
      <c r="Y109" s="147"/>
      <c r="Z109" s="147"/>
      <c r="AA109" s="147"/>
      <c r="AB109" s="147"/>
    </row>
    <row r="110" spans="1:28">
      <c r="B110" s="144"/>
      <c r="C110" s="510"/>
      <c r="D110" s="510"/>
      <c r="E110" s="510"/>
      <c r="F110" s="510"/>
      <c r="G110" s="510"/>
      <c r="H110" s="510"/>
      <c r="I110" s="510"/>
      <c r="J110" s="510"/>
      <c r="V110" s="147" t="s">
        <v>440</v>
      </c>
      <c r="W110" s="147"/>
      <c r="X110" s="147"/>
      <c r="Y110" s="147"/>
      <c r="Z110" s="147"/>
      <c r="AA110" s="147"/>
      <c r="AB110" s="147"/>
    </row>
    <row r="111" spans="1:28" ht="15.75">
      <c r="A111" s="563" t="s">
        <v>541</v>
      </c>
      <c r="B111" s="563"/>
      <c r="C111" s="563"/>
      <c r="D111" s="563"/>
      <c r="E111" s="563"/>
      <c r="F111" s="563"/>
      <c r="G111" s="563"/>
      <c r="H111" s="563"/>
      <c r="I111" s="563"/>
      <c r="J111" s="563"/>
      <c r="K111" s="563"/>
      <c r="L111" s="563"/>
      <c r="M111" s="563"/>
      <c r="N111" s="563"/>
      <c r="O111" s="563"/>
      <c r="P111" s="443"/>
      <c r="V111" s="147" t="s">
        <v>441</v>
      </c>
      <c r="W111" s="147"/>
      <c r="X111" s="147"/>
      <c r="Y111" s="147"/>
      <c r="Z111" s="147"/>
      <c r="AA111" s="147"/>
      <c r="AB111" s="147"/>
    </row>
    <row r="112" spans="1:28">
      <c r="V112" s="147" t="s">
        <v>442</v>
      </c>
      <c r="W112" s="147"/>
      <c r="X112" s="147"/>
      <c r="Y112" s="147"/>
      <c r="Z112" s="147"/>
      <c r="AA112" s="147"/>
      <c r="AB112" s="147"/>
    </row>
    <row r="113" spans="2:14">
      <c r="B113" s="382">
        <v>1</v>
      </c>
      <c r="C113" t="s">
        <v>512</v>
      </c>
      <c r="M113" s="406" t="s">
        <v>6</v>
      </c>
      <c r="N113" s="31"/>
    </row>
    <row r="114" spans="2:14" ht="72.75" customHeight="1">
      <c r="C114" s="564" t="s">
        <v>542</v>
      </c>
      <c r="D114" s="564"/>
      <c r="E114" s="564"/>
      <c r="F114" s="564"/>
      <c r="G114" s="564"/>
      <c r="H114" s="564"/>
      <c r="I114" s="564"/>
      <c r="J114" s="564"/>
    </row>
  </sheetData>
  <sheetProtection formatColumns="0" formatRows="0"/>
  <mergeCells count="105">
    <mergeCell ref="D29:I29"/>
    <mergeCell ref="F23:I23"/>
    <mergeCell ref="F18:I18"/>
    <mergeCell ref="F19:I19"/>
    <mergeCell ref="F20:I20"/>
    <mergeCell ref="F21:I21"/>
    <mergeCell ref="F22:I22"/>
    <mergeCell ref="L48:M48"/>
    <mergeCell ref="I47:J47"/>
    <mergeCell ref="I48:J48"/>
    <mergeCell ref="F46:G46"/>
    <mergeCell ref="D30:I30"/>
    <mergeCell ref="D31:I31"/>
    <mergeCell ref="K37:M37"/>
    <mergeCell ref="D32:I32"/>
    <mergeCell ref="I41:J41"/>
    <mergeCell ref="L47:M47"/>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B41:E41"/>
    <mergeCell ref="K68:L68"/>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L49:M49"/>
    <mergeCell ref="K61:L61"/>
    <mergeCell ref="A106:P106"/>
    <mergeCell ref="C109:J109"/>
    <mergeCell ref="A111:O111"/>
    <mergeCell ref="C114:J114"/>
    <mergeCell ref="A101:O101"/>
    <mergeCell ref="C104:J104"/>
    <mergeCell ref="C110:J110"/>
    <mergeCell ref="K66:L66"/>
    <mergeCell ref="C90:J90"/>
    <mergeCell ref="K72:L72"/>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s>
  <conditionalFormatting sqref="F15">
    <cfRule type="expression" dxfId="0" priority="1">
      <formula>$C$61&lt;&gt;""</formula>
    </cfRule>
  </conditionalFormatting>
  <dataValidations count="7">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 allowBlank="1" showInputMessage="1" showErrorMessage="1" prompt="Leave blank for budget adoption" sqref="N108 N113" xr:uid="{AE95EDFD-C996-4795-BE8D-57D2603BC22F}"/>
  </dataValidations>
  <pageMargins left="0.7" right="0.7" top="0.75" bottom="0.75" header="0.3" footer="0.3"/>
  <pageSetup paperSize="5" scale="37"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E90"/>
  <sheetViews>
    <sheetView showGridLines="0" topLeftCell="A53" workbookViewId="0">
      <selection activeCell="P79" sqref="P79:R80"/>
    </sheetView>
  </sheetViews>
  <sheetFormatPr defaultColWidth="11" defaultRowHeight="12"/>
  <cols>
    <col min="1" max="1" width="3.28515625" style="38" customWidth="1"/>
    <col min="2" max="2" width="2.28515625" style="38" customWidth="1"/>
    <col min="3" max="3" width="4" style="38" customWidth="1"/>
    <col min="4" max="4" width="4.28515625" style="38" customWidth="1"/>
    <col min="5" max="5" width="7.5703125" style="38" customWidth="1"/>
    <col min="6" max="7" width="11" style="38" customWidth="1"/>
    <col min="8" max="9" width="11.5703125" style="38" customWidth="1"/>
    <col min="10" max="10" width="12.5703125" style="38" customWidth="1"/>
    <col min="11" max="11" width="2.5703125" style="38" customWidth="1"/>
    <col min="12" max="12" width="14" style="38" customWidth="1"/>
    <col min="13" max="13" width="1.5703125" style="38" customWidth="1"/>
    <col min="14" max="14" width="14.5703125" style="38" customWidth="1"/>
    <col min="15" max="15" width="11" style="38" customWidth="1"/>
    <col min="16" max="16" width="7.5703125" style="38" customWidth="1"/>
    <col min="17" max="18" width="11" style="38" customWidth="1"/>
    <col min="19" max="19" width="7.28515625" style="38" customWidth="1"/>
    <col min="20" max="22" width="11" style="38" customWidth="1"/>
    <col min="23" max="23" width="7.28515625" style="38" customWidth="1"/>
    <col min="24" max="26" width="11" style="38" customWidth="1"/>
    <col min="27" max="27" width="7.28515625" style="38" customWidth="1"/>
    <col min="28" max="33" width="11" style="38" customWidth="1"/>
    <col min="34" max="16384" width="11" style="38"/>
  </cols>
  <sheetData>
    <row r="1" spans="1:15" ht="15.75" customHeight="1">
      <c r="A1" s="623" t="s">
        <v>0</v>
      </c>
      <c r="B1" s="623"/>
      <c r="C1" s="623"/>
      <c r="D1" s="623"/>
      <c r="E1" s="506" t="str">
        <f>CharterName</f>
        <v>George Gervin Youth Center, INC</v>
      </c>
      <c r="F1" s="506"/>
      <c r="G1" s="506"/>
      <c r="H1" s="406" t="s">
        <v>1</v>
      </c>
      <c r="I1" s="407" t="str">
        <f>Cover!M1</f>
        <v>Maricopa</v>
      </c>
      <c r="J1" s="623" t="s">
        <v>2</v>
      </c>
      <c r="K1" s="623"/>
      <c r="L1" s="507" t="str">
        <f>CTD</f>
        <v>078585000</v>
      </c>
      <c r="M1" s="507"/>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296</v>
      </c>
      <c r="B5" s="36"/>
      <c r="C5" s="3"/>
      <c r="D5" s="3"/>
      <c r="E5" s="3"/>
      <c r="F5" s="3"/>
      <c r="G5" s="3"/>
      <c r="H5" s="3"/>
      <c r="I5" s="39"/>
      <c r="J5" s="36"/>
      <c r="K5" s="36"/>
      <c r="L5" s="37"/>
      <c r="M5" s="37"/>
      <c r="N5" s="36"/>
      <c r="O5" s="37"/>
    </row>
    <row r="6" spans="1:15" ht="15.75" customHeight="1">
      <c r="A6" s="4"/>
      <c r="B6" s="36"/>
      <c r="C6" s="40" t="s">
        <v>297</v>
      </c>
      <c r="D6" s="41"/>
      <c r="E6" s="41"/>
      <c r="F6" s="41"/>
      <c r="G6" s="41"/>
      <c r="H6" s="41"/>
      <c r="I6" s="42"/>
      <c r="J6" s="43"/>
      <c r="K6" s="43"/>
      <c r="L6" s="44"/>
      <c r="M6" s="44"/>
      <c r="N6" s="43"/>
      <c r="O6" s="37"/>
    </row>
    <row r="7" spans="1:15" ht="15.75" customHeight="1" thickBot="1">
      <c r="A7" s="36"/>
      <c r="B7" s="36"/>
      <c r="C7" s="45" t="s">
        <v>298</v>
      </c>
      <c r="D7" s="45"/>
      <c r="E7" s="46"/>
      <c r="F7" s="46"/>
      <c r="G7" s="46"/>
      <c r="H7" s="46"/>
      <c r="I7" s="47"/>
      <c r="J7" s="48"/>
      <c r="K7" s="49"/>
      <c r="L7" s="50" t="s">
        <v>252</v>
      </c>
      <c r="M7" s="51"/>
      <c r="N7" s="52" t="s">
        <v>253</v>
      </c>
      <c r="O7" s="37"/>
    </row>
    <row r="8" spans="1:15" ht="15.75" customHeight="1" thickTop="1">
      <c r="A8" s="36"/>
      <c r="B8" s="36"/>
      <c r="C8" s="53" t="s">
        <v>299</v>
      </c>
      <c r="D8"/>
      <c r="E8"/>
      <c r="F8" s="54"/>
      <c r="G8" s="54"/>
      <c r="H8" s="54"/>
      <c r="I8" s="39"/>
      <c r="J8" s="36"/>
      <c r="K8" s="55"/>
      <c r="L8"/>
      <c r="M8" s="53"/>
      <c r="N8" s="56"/>
      <c r="O8" s="37"/>
    </row>
    <row r="9" spans="1:15" ht="15.75" customHeight="1" thickBot="1">
      <c r="A9" s="36"/>
      <c r="B9" s="36"/>
      <c r="C9" s="57"/>
      <c r="D9" s="58" t="s">
        <v>300</v>
      </c>
      <c r="E9" s="58"/>
      <c r="F9" s="58"/>
      <c r="G9" s="58"/>
      <c r="H9" s="58"/>
      <c r="I9" s="59"/>
      <c r="J9" s="60"/>
      <c r="K9" s="61"/>
      <c r="L9" s="62">
        <v>1.399</v>
      </c>
      <c r="M9" s="63"/>
      <c r="N9" s="64">
        <v>1.5589999999999999</v>
      </c>
      <c r="O9" s="37"/>
    </row>
    <row r="10" spans="1:15" ht="15.75" customHeight="1" thickTop="1">
      <c r="A10" s="36"/>
      <c r="B10" s="36"/>
      <c r="C10" s="65" t="s">
        <v>301</v>
      </c>
      <c r="D10"/>
      <c r="E10"/>
      <c r="F10" s="66"/>
      <c r="G10" s="66"/>
      <c r="H10" s="66"/>
      <c r="I10" s="39"/>
      <c r="J10" s="36"/>
      <c r="K10" s="67"/>
      <c r="L10" s="68"/>
      <c r="M10" s="53"/>
      <c r="N10" s="69"/>
      <c r="O10" s="37"/>
    </row>
    <row r="11" spans="1:15" ht="15.75" customHeight="1">
      <c r="A11" s="36"/>
      <c r="B11" s="36"/>
      <c r="C11" s="53"/>
      <c r="D11" t="s">
        <v>302</v>
      </c>
      <c r="E11"/>
      <c r="F11"/>
      <c r="G11"/>
      <c r="H11"/>
      <c r="I11" s="39"/>
      <c r="J11" s="36"/>
      <c r="K11" s="401"/>
      <c r="L11" s="70">
        <v>500</v>
      </c>
      <c r="M11" s="71"/>
      <c r="N11" s="72">
        <v>500</v>
      </c>
      <c r="O11" s="37"/>
    </row>
    <row r="12" spans="1:15" ht="15.75" customHeight="1">
      <c r="A12" s="36"/>
      <c r="B12" s="36"/>
      <c r="C12" s="53"/>
      <c r="D12" t="s">
        <v>303</v>
      </c>
      <c r="E12"/>
      <c r="F12"/>
      <c r="G12"/>
      <c r="H12"/>
      <c r="I12" s="39"/>
      <c r="J12" s="36"/>
      <c r="K12" s="401" t="s">
        <v>304</v>
      </c>
      <c r="L12" s="73">
        <f>IF('Data Entry'!I41&gt;99.999,IF('Data Entry'!I41&lt;500,'Data Entry'!I41,0),0)</f>
        <v>0</v>
      </c>
      <c r="M12" s="401" t="s">
        <v>304</v>
      </c>
      <c r="N12" s="74">
        <f>IF('Data Entry'!L41&gt;99.999,IF('Data Entry'!L41&lt;500,'Data Entry'!L41,0),0)</f>
        <v>0</v>
      </c>
      <c r="O12" s="37"/>
    </row>
    <row r="13" spans="1:15" ht="15.75" customHeight="1">
      <c r="A13" s="36"/>
      <c r="B13" s="36"/>
      <c r="C13" s="53"/>
      <c r="D13" t="s">
        <v>305</v>
      </c>
      <c r="E13"/>
      <c r="F13"/>
      <c r="G13"/>
      <c r="H13"/>
      <c r="I13" s="39"/>
      <c r="J13" s="36"/>
      <c r="K13" s="75" t="s">
        <v>259</v>
      </c>
      <c r="L13" s="73">
        <f>IF(L12&gt;0,ROUND(+L11-L12,4),0)</f>
        <v>0</v>
      </c>
      <c r="M13" s="76" t="s">
        <v>259</v>
      </c>
      <c r="N13" s="74">
        <f>IF(N12&gt;0,ROUND(+N11-N12,4),0)</f>
        <v>0</v>
      </c>
      <c r="O13" s="37"/>
    </row>
    <row r="14" spans="1:15" ht="15.75" customHeight="1">
      <c r="A14" s="36"/>
      <c r="B14" s="36"/>
      <c r="C14" s="53"/>
      <c r="D14" t="s">
        <v>306</v>
      </c>
      <c r="E14"/>
      <c r="F14"/>
      <c r="G14"/>
      <c r="H14"/>
      <c r="I14" s="39"/>
      <c r="J14" s="36"/>
      <c r="K14" s="75" t="s">
        <v>239</v>
      </c>
      <c r="L14" s="73">
        <v>2.9999999999999997E-4</v>
      </c>
      <c r="M14" s="75" t="s">
        <v>239</v>
      </c>
      <c r="N14" s="74">
        <v>4.0000000000000002E-4</v>
      </c>
      <c r="O14" s="37"/>
    </row>
    <row r="15" spans="1:15" ht="15.75" customHeight="1">
      <c r="A15" s="36"/>
      <c r="B15" s="36"/>
      <c r="C15" s="53"/>
      <c r="D15" t="s">
        <v>307</v>
      </c>
      <c r="E15"/>
      <c r="F15"/>
      <c r="G15"/>
      <c r="H15"/>
      <c r="I15" s="39"/>
      <c r="J15" s="36"/>
      <c r="K15" s="75" t="s">
        <v>259</v>
      </c>
      <c r="L15" s="73">
        <f>IF(L12&gt;0,ROUND(L13*L14,4),0)</f>
        <v>0</v>
      </c>
      <c r="M15" s="401" t="s">
        <v>259</v>
      </c>
      <c r="N15" s="74">
        <f>IF(N12&gt;0,ROUND(N13*N14,4),0)</f>
        <v>0</v>
      </c>
      <c r="O15" s="37"/>
    </row>
    <row r="16" spans="1:15" ht="15.75" customHeight="1">
      <c r="A16" s="36"/>
      <c r="B16" s="36"/>
      <c r="C16" s="53"/>
      <c r="D16" t="s">
        <v>308</v>
      </c>
      <c r="E16"/>
      <c r="F16"/>
      <c r="G16"/>
      <c r="H16"/>
      <c r="I16" s="39"/>
      <c r="J16" s="36"/>
      <c r="K16" s="75" t="s">
        <v>256</v>
      </c>
      <c r="L16" s="73">
        <v>1.278</v>
      </c>
      <c r="M16" s="75" t="s">
        <v>256</v>
      </c>
      <c r="N16" s="74">
        <v>1.3979999999999999</v>
      </c>
      <c r="O16" s="37"/>
    </row>
    <row r="17" spans="1:15" ht="15.75" customHeight="1" thickBot="1">
      <c r="A17" s="36"/>
      <c r="B17" s="36"/>
      <c r="C17" s="57"/>
      <c r="D17" s="58" t="s">
        <v>309</v>
      </c>
      <c r="E17" s="58"/>
      <c r="F17" s="58"/>
      <c r="G17" s="58"/>
      <c r="H17" s="58"/>
      <c r="I17" s="59"/>
      <c r="J17" s="60"/>
      <c r="K17" s="77" t="s">
        <v>259</v>
      </c>
      <c r="L17" s="78">
        <f>IF(L12&gt;0,ROUND(+L15+L16,4),0)</f>
        <v>0</v>
      </c>
      <c r="M17" s="63" t="s">
        <v>259</v>
      </c>
      <c r="N17" s="79">
        <f>IF(N12&gt;0,ROUND(+N15+N16,4),0)</f>
        <v>0</v>
      </c>
      <c r="O17" s="37"/>
    </row>
    <row r="18" spans="1:15" ht="15.75" customHeight="1" thickTop="1">
      <c r="A18" s="36"/>
      <c r="B18" s="36"/>
      <c r="C18" s="65" t="s">
        <v>310</v>
      </c>
      <c r="D18"/>
      <c r="E18"/>
      <c r="F18" s="66"/>
      <c r="G18" s="66"/>
      <c r="H18" s="66"/>
      <c r="I18" s="39"/>
      <c r="J18" s="36"/>
      <c r="K18" s="67"/>
      <c r="L18" s="80"/>
      <c r="M18" s="53"/>
      <c r="N18" s="69"/>
      <c r="O18" s="37"/>
    </row>
    <row r="19" spans="1:15" ht="15.75" customHeight="1">
      <c r="A19" s="36"/>
      <c r="B19" s="36"/>
      <c r="C19" s="53"/>
      <c r="D19" t="s">
        <v>302</v>
      </c>
      <c r="E19"/>
      <c r="F19"/>
      <c r="G19"/>
      <c r="H19"/>
      <c r="I19" s="39"/>
      <c r="J19" s="36"/>
      <c r="K19" s="53"/>
      <c r="L19" s="81">
        <v>600</v>
      </c>
      <c r="M19" s="71"/>
      <c r="N19" s="74">
        <v>600</v>
      </c>
      <c r="O19" s="37"/>
    </row>
    <row r="20" spans="1:15" ht="15.75" customHeight="1">
      <c r="A20" s="36"/>
      <c r="B20" s="36"/>
      <c r="C20" s="53"/>
      <c r="D20" t="s">
        <v>303</v>
      </c>
      <c r="E20"/>
      <c r="F20"/>
      <c r="G20"/>
      <c r="H20"/>
      <c r="I20" s="39"/>
      <c r="J20" s="36"/>
      <c r="K20" s="404" t="s">
        <v>304</v>
      </c>
      <c r="L20" s="73">
        <f>IF('Data Entry'!I41&gt;499.999,IF('Data Entry'!I41&lt;600,'Data Entry'!I41,0),0)</f>
        <v>0</v>
      </c>
      <c r="M20" s="401" t="s">
        <v>304</v>
      </c>
      <c r="N20" s="74">
        <f>IF('Data Entry'!L41&gt;499.999,IF('Data Entry'!L41&lt;600,'Data Entry'!L41,0),0)</f>
        <v>0</v>
      </c>
      <c r="O20" s="37"/>
    </row>
    <row r="21" spans="1:15" ht="15.75" customHeight="1">
      <c r="A21" s="36"/>
      <c r="B21" s="36"/>
      <c r="C21" s="53"/>
      <c r="D21" t="s">
        <v>305</v>
      </c>
      <c r="E21"/>
      <c r="F21"/>
      <c r="G21"/>
      <c r="H21"/>
      <c r="I21" s="39"/>
      <c r="J21" s="36"/>
      <c r="K21" s="82" t="s">
        <v>259</v>
      </c>
      <c r="L21" s="73">
        <f>IF(L20&gt;0,ROUND(+L19-L20,4),0)</f>
        <v>0</v>
      </c>
      <c r="M21" s="76" t="s">
        <v>259</v>
      </c>
      <c r="N21" s="74">
        <f>IF(N20&gt;0,ROUND(+N19-N20,4),0)</f>
        <v>0</v>
      </c>
      <c r="O21" s="37"/>
    </row>
    <row r="22" spans="1:15" ht="15.75" customHeight="1">
      <c r="A22" s="36"/>
      <c r="B22" s="36"/>
      <c r="C22" s="53"/>
      <c r="D22" t="s">
        <v>306</v>
      </c>
      <c r="E22"/>
      <c r="F22"/>
      <c r="G22"/>
      <c r="H22"/>
      <c r="I22" s="39"/>
      <c r="J22" s="36"/>
      <c r="K22" s="404" t="s">
        <v>239</v>
      </c>
      <c r="L22" s="73">
        <v>1.1999999999999999E-3</v>
      </c>
      <c r="M22" s="75" t="s">
        <v>239</v>
      </c>
      <c r="N22" s="74">
        <v>1.2999999999999999E-3</v>
      </c>
      <c r="O22" s="37"/>
    </row>
    <row r="23" spans="1:15" ht="15.75" customHeight="1">
      <c r="A23" s="36"/>
      <c r="B23" s="36"/>
      <c r="C23" s="53"/>
      <c r="D23" t="s">
        <v>307</v>
      </c>
      <c r="E23"/>
      <c r="F23"/>
      <c r="G23"/>
      <c r="H23"/>
      <c r="I23" s="39"/>
      <c r="J23" s="36"/>
      <c r="K23" s="82" t="s">
        <v>259</v>
      </c>
      <c r="L23" s="73">
        <f>IF(L20&gt;0,ROUND(L21*L22,4),0)</f>
        <v>0</v>
      </c>
      <c r="M23" s="401" t="s">
        <v>259</v>
      </c>
      <c r="N23" s="74">
        <f>IF(N20&gt;0,ROUND(N21*N22,4),0)</f>
        <v>0</v>
      </c>
      <c r="O23" s="37"/>
    </row>
    <row r="24" spans="1:15" ht="15.75" customHeight="1">
      <c r="A24" s="36"/>
      <c r="B24" s="36"/>
      <c r="C24" s="53"/>
      <c r="D24" t="s">
        <v>308</v>
      </c>
      <c r="E24"/>
      <c r="F24"/>
      <c r="G24"/>
      <c r="H24"/>
      <c r="I24" s="39"/>
      <c r="J24" s="36"/>
      <c r="K24" s="404" t="s">
        <v>256</v>
      </c>
      <c r="L24" s="73">
        <v>1.1579999999999999</v>
      </c>
      <c r="M24" s="401" t="s">
        <v>256</v>
      </c>
      <c r="N24" s="74">
        <v>1.268</v>
      </c>
      <c r="O24" s="37"/>
    </row>
    <row r="25" spans="1:15" ht="15.75" customHeight="1" thickBot="1">
      <c r="A25" s="36"/>
      <c r="B25" s="36"/>
      <c r="C25" s="57"/>
      <c r="D25" s="58" t="s">
        <v>309</v>
      </c>
      <c r="E25" s="58"/>
      <c r="F25" s="58"/>
      <c r="G25" s="58"/>
      <c r="H25" s="58"/>
      <c r="I25" s="59"/>
      <c r="J25" s="60"/>
      <c r="K25" s="83" t="s">
        <v>259</v>
      </c>
      <c r="L25" s="78">
        <f>IF(L20&gt;0,ROUND(+L23+L24,4),0)</f>
        <v>0</v>
      </c>
      <c r="M25" s="77" t="s">
        <v>259</v>
      </c>
      <c r="N25" s="64">
        <f>IF(N20&gt;0,ROUND(+N23+N24,4),0)</f>
        <v>0</v>
      </c>
      <c r="O25" s="37"/>
    </row>
    <row r="26" spans="1:15" ht="15.75" customHeight="1" thickTop="1">
      <c r="A26" s="36"/>
      <c r="B26" s="36"/>
      <c r="C26" s="65" t="s">
        <v>311</v>
      </c>
      <c r="D26"/>
      <c r="E26"/>
      <c r="F26" s="84"/>
      <c r="G26" s="84"/>
      <c r="H26" s="66"/>
      <c r="I26" s="39"/>
      <c r="J26" s="36"/>
      <c r="K26" s="67"/>
      <c r="L26" s="85"/>
      <c r="M26" s="65"/>
      <c r="N26" s="69"/>
      <c r="O26" s="37"/>
    </row>
    <row r="27" spans="1:15" ht="15.75" customHeight="1" thickBot="1">
      <c r="A27" s="36"/>
      <c r="B27" s="36"/>
      <c r="C27" s="86"/>
      <c r="D27" s="58" t="s">
        <v>309</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312</v>
      </c>
      <c r="D31" s="40"/>
      <c r="E31" s="40"/>
      <c r="F31" s="40"/>
      <c r="G31" s="40"/>
      <c r="H31" s="40"/>
      <c r="I31" s="88"/>
      <c r="J31" s="398"/>
      <c r="K31" s="40"/>
      <c r="L31" s="40"/>
      <c r="M31" s="40"/>
      <c r="N31" s="40"/>
      <c r="O31" s="89"/>
    </row>
    <row r="32" spans="1:15" ht="15.75" customHeight="1" thickBot="1">
      <c r="A32" s="36"/>
      <c r="B32" s="36"/>
      <c r="C32" s="45" t="s">
        <v>298</v>
      </c>
      <c r="D32" s="45"/>
      <c r="E32" s="46"/>
      <c r="F32" s="46"/>
      <c r="G32" s="46"/>
      <c r="H32" s="46"/>
      <c r="I32" s="47"/>
      <c r="J32" s="48"/>
      <c r="K32" s="49"/>
      <c r="L32" s="50" t="s">
        <v>252</v>
      </c>
      <c r="M32" s="90"/>
      <c r="N32" s="52" t="s">
        <v>253</v>
      </c>
      <c r="O32" s="37"/>
    </row>
    <row r="33" spans="1:15" ht="15.75" customHeight="1" thickTop="1">
      <c r="A33" s="36"/>
      <c r="B33" s="36"/>
      <c r="C33" s="53" t="s">
        <v>313</v>
      </c>
      <c r="D33"/>
      <c r="E33"/>
      <c r="F33" s="54"/>
      <c r="G33" s="54"/>
      <c r="H33" s="54"/>
      <c r="I33" s="39"/>
      <c r="J33" s="36"/>
      <c r="K33" s="53"/>
      <c r="L33"/>
      <c r="M33" s="53"/>
      <c r="N33" s="91"/>
      <c r="O33" s="37"/>
    </row>
    <row r="34" spans="1:15" ht="15.75" customHeight="1" thickBot="1">
      <c r="A34" s="36"/>
      <c r="B34" s="36"/>
      <c r="C34" s="57"/>
      <c r="D34" s="58" t="s">
        <v>300</v>
      </c>
      <c r="E34" s="58"/>
      <c r="F34" s="58"/>
      <c r="G34" s="58"/>
      <c r="H34" s="58"/>
      <c r="I34" s="59"/>
      <c r="J34" s="60"/>
      <c r="K34" s="63"/>
      <c r="L34" s="62">
        <v>1.399</v>
      </c>
      <c r="M34" s="63"/>
      <c r="N34" s="64">
        <v>1.5589999999999999</v>
      </c>
      <c r="O34" s="37"/>
    </row>
    <row r="35" spans="1:15" ht="15.75" customHeight="1" thickTop="1">
      <c r="A35" s="36"/>
      <c r="B35" s="36"/>
      <c r="C35" s="65" t="s">
        <v>301</v>
      </c>
      <c r="D35"/>
      <c r="E35"/>
      <c r="F35" s="66"/>
      <c r="G35" s="66"/>
      <c r="H35" s="66"/>
      <c r="I35" s="39"/>
      <c r="J35" s="36"/>
      <c r="K35" s="92"/>
      <c r="L35" s="68"/>
      <c r="M35" s="53"/>
      <c r="N35" s="69"/>
      <c r="O35" s="37"/>
    </row>
    <row r="36" spans="1:15" ht="15.75" customHeight="1">
      <c r="A36" s="36"/>
      <c r="B36" s="36"/>
      <c r="C36" s="53"/>
      <c r="D36" t="s">
        <v>302</v>
      </c>
      <c r="E36"/>
      <c r="F36"/>
      <c r="G36"/>
      <c r="H36"/>
      <c r="I36" s="39"/>
      <c r="J36" s="36"/>
      <c r="K36" s="399"/>
      <c r="L36" s="81">
        <v>500</v>
      </c>
      <c r="M36" s="401"/>
      <c r="N36" s="74">
        <v>500</v>
      </c>
      <c r="O36" s="37"/>
    </row>
    <row r="37" spans="1:15" ht="15.75" customHeight="1">
      <c r="A37" s="36"/>
      <c r="B37" s="36"/>
      <c r="C37" s="53"/>
      <c r="D37" t="s">
        <v>303</v>
      </c>
      <c r="E37"/>
      <c r="F37"/>
      <c r="G37"/>
      <c r="H37"/>
      <c r="I37" s="39"/>
      <c r="J37" s="36"/>
      <c r="K37" s="399" t="s">
        <v>304</v>
      </c>
      <c r="L37" s="73">
        <f>IF('Data Entry'!I50&gt;99.999,IF('Data Entry'!I50&lt;500,'Data Entry'!I50,0),0)</f>
        <v>0</v>
      </c>
      <c r="M37" s="399" t="s">
        <v>304</v>
      </c>
      <c r="N37" s="74">
        <f>IF('Data Entry'!L50&gt;99.999,IF('Data Entry'!L50&lt;500,'Data Entry'!L50,0),0)</f>
        <v>0</v>
      </c>
      <c r="O37" s="37"/>
    </row>
    <row r="38" spans="1:15" ht="15.75" customHeight="1">
      <c r="A38" s="36"/>
      <c r="B38" s="36"/>
      <c r="C38" s="53"/>
      <c r="D38" t="s">
        <v>305</v>
      </c>
      <c r="E38"/>
      <c r="F38"/>
      <c r="G38"/>
      <c r="H38"/>
      <c r="I38" s="39"/>
      <c r="J38" s="36"/>
      <c r="K38" s="399" t="s">
        <v>259</v>
      </c>
      <c r="L38" s="73">
        <f>IF(L37&gt;0,ROUND(+L36-L37,4),0)</f>
        <v>0</v>
      </c>
      <c r="M38" s="399" t="s">
        <v>259</v>
      </c>
      <c r="N38" s="74">
        <f>IF(N37&gt;0,ROUND(+N36-N37,4),0)</f>
        <v>0</v>
      </c>
      <c r="O38" s="37"/>
    </row>
    <row r="39" spans="1:15" ht="15.75" customHeight="1">
      <c r="A39" s="36"/>
      <c r="B39" s="36"/>
      <c r="C39" s="53"/>
      <c r="D39" t="s">
        <v>306</v>
      </c>
      <c r="E39"/>
      <c r="F39"/>
      <c r="G39"/>
      <c r="H39"/>
      <c r="I39" s="39"/>
      <c r="J39" s="36"/>
      <c r="K39" s="399" t="s">
        <v>239</v>
      </c>
      <c r="L39" s="73">
        <v>2.9999999999999997E-4</v>
      </c>
      <c r="M39" s="399" t="s">
        <v>239</v>
      </c>
      <c r="N39" s="74">
        <v>4.0000000000000002E-4</v>
      </c>
      <c r="O39" s="37"/>
    </row>
    <row r="40" spans="1:15" ht="15.75" customHeight="1">
      <c r="A40" s="36"/>
      <c r="B40" s="36"/>
      <c r="C40" s="53"/>
      <c r="D40" t="s">
        <v>307</v>
      </c>
      <c r="E40"/>
      <c r="F40"/>
      <c r="G40"/>
      <c r="H40"/>
      <c r="I40" s="39"/>
      <c r="J40" s="36"/>
      <c r="K40" s="399" t="s">
        <v>259</v>
      </c>
      <c r="L40" s="73">
        <f>IF(L37&gt;0,ROUND(L38*L39,4),0)</f>
        <v>0</v>
      </c>
      <c r="M40" s="399" t="s">
        <v>259</v>
      </c>
      <c r="N40" s="74">
        <f>IF(N37&gt;0,ROUND(N38*N39,4),0)</f>
        <v>0</v>
      </c>
      <c r="O40" s="37"/>
    </row>
    <row r="41" spans="1:15" ht="15.75" customHeight="1">
      <c r="A41" s="36"/>
      <c r="B41" s="36"/>
      <c r="C41" s="53"/>
      <c r="D41" t="s">
        <v>308</v>
      </c>
      <c r="E41"/>
      <c r="F41"/>
      <c r="G41"/>
      <c r="H41"/>
      <c r="I41" s="39"/>
      <c r="J41" s="36"/>
      <c r="K41" s="399" t="s">
        <v>256</v>
      </c>
      <c r="L41" s="73">
        <v>1.278</v>
      </c>
      <c r="M41" s="399" t="s">
        <v>256</v>
      </c>
      <c r="N41" s="74">
        <v>1.3979999999999999</v>
      </c>
      <c r="O41" s="37"/>
    </row>
    <row r="42" spans="1:15" ht="15.75" customHeight="1" thickBot="1">
      <c r="A42" s="36"/>
      <c r="B42" s="36"/>
      <c r="C42" s="57"/>
      <c r="D42" s="58" t="s">
        <v>309</v>
      </c>
      <c r="E42" s="58"/>
      <c r="F42" s="58"/>
      <c r="G42" s="58"/>
      <c r="H42" s="58"/>
      <c r="I42" s="59"/>
      <c r="J42" s="60"/>
      <c r="K42" s="83" t="s">
        <v>259</v>
      </c>
      <c r="L42" s="78">
        <f>IF(L37&gt;0,ROUND(+L40+L41,4),0)</f>
        <v>0</v>
      </c>
      <c r="M42" s="83" t="s">
        <v>259</v>
      </c>
      <c r="N42" s="64">
        <f>IF(N37&gt;0,ROUND(+N40+N41,4),0)</f>
        <v>0</v>
      </c>
      <c r="O42" s="37"/>
    </row>
    <row r="43" spans="1:15" ht="15.75" customHeight="1" thickTop="1">
      <c r="A43" s="36"/>
      <c r="B43" s="36"/>
      <c r="C43" s="65" t="s">
        <v>310</v>
      </c>
      <c r="D43"/>
      <c r="E43"/>
      <c r="F43" s="66"/>
      <c r="G43" s="66"/>
      <c r="H43" s="66"/>
      <c r="I43" s="39"/>
      <c r="J43" s="36"/>
      <c r="K43" s="67"/>
      <c r="L43" s="68"/>
      <c r="M43" s="53"/>
      <c r="N43" s="69"/>
      <c r="O43" s="37"/>
    </row>
    <row r="44" spans="1:15" ht="15.75" customHeight="1">
      <c r="A44" s="36"/>
      <c r="B44" s="36"/>
      <c r="C44" s="53"/>
      <c r="D44" t="s">
        <v>302</v>
      </c>
      <c r="E44"/>
      <c r="F44"/>
      <c r="G44"/>
      <c r="H44"/>
      <c r="I44" s="39"/>
      <c r="J44" s="36"/>
      <c r="K44" s="399"/>
      <c r="L44" s="81">
        <v>600</v>
      </c>
      <c r="M44" s="401"/>
      <c r="N44" s="74">
        <v>600</v>
      </c>
      <c r="O44" s="37"/>
    </row>
    <row r="45" spans="1:15" ht="15.75" customHeight="1">
      <c r="A45" s="36"/>
      <c r="B45" s="36"/>
      <c r="C45" s="53"/>
      <c r="D45" t="s">
        <v>303</v>
      </c>
      <c r="E45"/>
      <c r="F45"/>
      <c r="G45"/>
      <c r="H45"/>
      <c r="I45" s="39"/>
      <c r="J45" s="36"/>
      <c r="K45" s="399" t="s">
        <v>304</v>
      </c>
      <c r="L45" s="73">
        <f>IF('Data Entry'!I50&gt;499.999,IF('Data Entry'!I50&lt;600,'Data Entry'!I50,0),0)</f>
        <v>0</v>
      </c>
      <c r="M45" s="399" t="s">
        <v>304</v>
      </c>
      <c r="N45" s="74">
        <f>IF('Data Entry'!L50&gt;499.999,IF('Data Entry'!L50&lt;600,'Data Entry'!L50,0),0)</f>
        <v>0</v>
      </c>
      <c r="O45" s="37"/>
    </row>
    <row r="46" spans="1:15" ht="15.75" customHeight="1">
      <c r="A46" s="36"/>
      <c r="B46" s="36"/>
      <c r="C46" s="53"/>
      <c r="D46" t="s">
        <v>305</v>
      </c>
      <c r="E46"/>
      <c r="F46"/>
      <c r="G46"/>
      <c r="H46"/>
      <c r="I46" s="39"/>
      <c r="J46" s="36"/>
      <c r="K46" s="399" t="s">
        <v>259</v>
      </c>
      <c r="L46" s="73">
        <f>IF(L45&gt;0,ROUND(+L44-L45,4),0)</f>
        <v>0</v>
      </c>
      <c r="M46" s="399" t="s">
        <v>259</v>
      </c>
      <c r="N46" s="74">
        <f>IF(N45&gt;0,ROUND(+N44-N45,4),0)</f>
        <v>0</v>
      </c>
      <c r="O46" s="37"/>
    </row>
    <row r="47" spans="1:15" ht="15.75" customHeight="1">
      <c r="A47" s="36"/>
      <c r="B47" s="36"/>
      <c r="C47" s="53"/>
      <c r="D47" t="s">
        <v>306</v>
      </c>
      <c r="E47"/>
      <c r="F47"/>
      <c r="G47"/>
      <c r="H47"/>
      <c r="I47" s="39"/>
      <c r="J47" s="36"/>
      <c r="K47" s="399" t="s">
        <v>239</v>
      </c>
      <c r="L47" s="73">
        <v>1.1999999999999999E-3</v>
      </c>
      <c r="M47" s="399" t="s">
        <v>239</v>
      </c>
      <c r="N47" s="74">
        <v>1.2999999999999999E-3</v>
      </c>
      <c r="O47" s="37"/>
    </row>
    <row r="48" spans="1:15" ht="15.75" customHeight="1">
      <c r="A48" s="36"/>
      <c r="B48" s="36"/>
      <c r="C48" s="53"/>
      <c r="D48" t="s">
        <v>307</v>
      </c>
      <c r="E48"/>
      <c r="F48"/>
      <c r="G48"/>
      <c r="H48"/>
      <c r="I48" s="39"/>
      <c r="J48" s="36"/>
      <c r="K48" s="399" t="s">
        <v>259</v>
      </c>
      <c r="L48" s="73">
        <f>IF(L45&gt;0,ROUND(L46*L47,4),0)</f>
        <v>0</v>
      </c>
      <c r="M48" s="399" t="s">
        <v>259</v>
      </c>
      <c r="N48" s="74">
        <f>IF(N45&gt;0,ROUND(N46*N47,4),0)</f>
        <v>0</v>
      </c>
      <c r="O48" s="37"/>
    </row>
    <row r="49" spans="1:31" ht="15.75" customHeight="1">
      <c r="A49" s="36"/>
      <c r="B49" s="36"/>
      <c r="C49" s="53"/>
      <c r="D49" t="s">
        <v>308</v>
      </c>
      <c r="E49"/>
      <c r="F49"/>
      <c r="G49"/>
      <c r="H49"/>
      <c r="I49" s="39"/>
      <c r="J49" s="36"/>
      <c r="K49" s="399" t="s">
        <v>256</v>
      </c>
      <c r="L49" s="73">
        <v>1.1579999999999999</v>
      </c>
      <c r="M49" s="399" t="s">
        <v>256</v>
      </c>
      <c r="N49" s="74">
        <v>1.268</v>
      </c>
      <c r="O49" s="37"/>
    </row>
    <row r="50" spans="1:31" ht="15.75" customHeight="1" thickBot="1">
      <c r="A50" s="36"/>
      <c r="B50" s="36"/>
      <c r="C50" s="57"/>
      <c r="D50" s="58" t="s">
        <v>309</v>
      </c>
      <c r="E50" s="58"/>
      <c r="F50" s="58"/>
      <c r="G50" s="58"/>
      <c r="H50" s="58"/>
      <c r="I50" s="59"/>
      <c r="J50" s="60"/>
      <c r="K50" s="83" t="s">
        <v>259</v>
      </c>
      <c r="L50" s="78">
        <f>IF(L45&gt;0,ROUND(+L48+L49,4),0)</f>
        <v>0</v>
      </c>
      <c r="M50" s="83" t="s">
        <v>259</v>
      </c>
      <c r="N50" s="64">
        <f>IF(N45&gt;0,ROUND(+N48+N49,4),0)</f>
        <v>0</v>
      </c>
      <c r="O50" s="37"/>
    </row>
    <row r="51" spans="1:31" ht="15.75" customHeight="1" thickTop="1">
      <c r="A51" s="36"/>
      <c r="B51" s="36"/>
      <c r="C51" s="65" t="s">
        <v>311</v>
      </c>
      <c r="D51"/>
      <c r="E51"/>
      <c r="F51" s="84"/>
      <c r="G51" s="84"/>
      <c r="H51" s="66"/>
      <c r="I51" s="39"/>
      <c r="J51" s="36"/>
      <c r="K51" s="67"/>
      <c r="L51" s="80"/>
      <c r="M51" s="53"/>
      <c r="N51" s="69"/>
      <c r="O51" s="37"/>
    </row>
    <row r="52" spans="1:31" ht="15.75" customHeight="1" thickBot="1">
      <c r="A52" s="36"/>
      <c r="B52" s="36"/>
      <c r="C52" s="86"/>
      <c r="D52" s="58" t="s">
        <v>309</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314</v>
      </c>
      <c r="C56" s="94"/>
      <c r="D56"/>
      <c r="E56"/>
      <c r="F56"/>
      <c r="G56" s="39"/>
      <c r="H56" s="36"/>
      <c r="I56" s="39"/>
      <c r="J56" s="36"/>
      <c r="K56" s="36"/>
      <c r="L56" s="37"/>
      <c r="M56" s="37"/>
      <c r="N56" s="36"/>
      <c r="O56" s="37"/>
    </row>
    <row r="57" spans="1:31" ht="15.75" customHeight="1">
      <c r="A57" s="36"/>
      <c r="B57" s="390">
        <v>1</v>
      </c>
      <c r="C57" t="s">
        <v>315</v>
      </c>
      <c r="D57"/>
      <c r="E57"/>
      <c r="F57"/>
      <c r="G57" s="39"/>
      <c r="H57" s="36"/>
      <c r="I57" s="39"/>
      <c r="J57" s="36"/>
      <c r="K57" s="36"/>
      <c r="L57" s="95">
        <f>IF('Data Entry'!I41&gt;0,IF('Data Entry'!I41&lt;100,L9,IF('Data Entry'!I41&lt;500,L17,IF('Data Entry'!I41&lt;600,L25,L27))),0)</f>
        <v>0</v>
      </c>
      <c r="M57" s="37"/>
      <c r="N57" s="70">
        <f>IF('Data Entry'!L41&gt;0,IF('Data Entry'!L41&lt;100,N9,IF('Data Entry'!L41&lt;500,N17,IF('Data Entry'!L41&lt;600,N25,N27))),0)</f>
        <v>0</v>
      </c>
      <c r="O57" s="37"/>
    </row>
    <row r="58" spans="1:31" ht="15.75" customHeight="1">
      <c r="A58" s="36"/>
      <c r="B58" s="390">
        <v>2</v>
      </c>
      <c r="C58" t="s">
        <v>316</v>
      </c>
      <c r="D58"/>
      <c r="E58"/>
      <c r="F58"/>
      <c r="G58" s="39"/>
      <c r="H58" s="36"/>
      <c r="I58" s="39"/>
      <c r="J58" s="36"/>
      <c r="K58" s="36"/>
      <c r="L58" s="70">
        <f>IF(AND('Data Entry'!I50=0,'Data Entry'!$A$27="X"),1.158,IF('Data Entry'!I50&gt;0,IF('Data Entry'!I50&lt;100,L34,IF('Data Entry'!I50&lt;500,L42,IF('Data Entry'!I50&lt;600,L50,L52))),0))</f>
        <v>1.1579999999999999</v>
      </c>
      <c r="M58" s="37"/>
      <c r="N58" s="70">
        <f>IF(AND('Data Entry'!L50=0,'Data Entry'!$A$27="X"),1.268,IF('Data Entry'!L50&gt;0,IF('Data Entry'!L50&lt;100,N34,IF('Data Entry'!L50&lt;500,N42,IF('Data Entry'!L50&lt;600,N50,N52))),0))</f>
        <v>1.268</v>
      </c>
      <c r="O58" s="37"/>
    </row>
    <row r="59" spans="1:31" ht="15.75" customHeight="1">
      <c r="A59" s="36"/>
      <c r="B59" s="390">
        <v>3</v>
      </c>
      <c r="C59" s="96" t="s">
        <v>317</v>
      </c>
      <c r="D59" s="97"/>
      <c r="E59" s="97"/>
      <c r="F59" s="97"/>
      <c r="G59" s="98"/>
      <c r="H59" s="99"/>
      <c r="I59" s="98"/>
      <c r="J59" s="99"/>
      <c r="K59" s="99"/>
      <c r="L59" s="70">
        <f>IF(StudCntK8CY=0,0,IF(OR('Data Entry'!B29="X",'Data Entry'!B30="X",'Data Entry'!B31="X",'Data Entry'!B32="X"),Calculations!L58,Calculations!L57))</f>
        <v>0</v>
      </c>
      <c r="M59" s="100"/>
      <c r="N59" s="70">
        <f>IF(StudCnt912CY=0,0,IF(OR('Data Entry'!B29="X",'Data Entry'!B30="X",'Data Entry'!B31="X",'Data Entry'!B32="X"),Calculations!N58,Calculations!N57))</f>
        <v>0</v>
      </c>
      <c r="O59" s="37"/>
    </row>
    <row r="61" spans="1:31" ht="12.75">
      <c r="A61" s="94"/>
      <c r="C61" s="94"/>
      <c r="D61" s="94"/>
      <c r="E61" s="94"/>
      <c r="F61" s="94"/>
    </row>
    <row r="62" spans="1:31" ht="12.75">
      <c r="A62" s="94"/>
      <c r="B62" s="101" t="s">
        <v>318</v>
      </c>
      <c r="C62" s="94"/>
      <c r="D62" s="94"/>
      <c r="E62" s="94"/>
      <c r="F62" s="94"/>
      <c r="T62" s="485"/>
      <c r="U62" s="485"/>
      <c r="V62" s="485"/>
      <c r="W62" s="485"/>
      <c r="X62" s="485"/>
      <c r="Y62" s="485"/>
      <c r="Z62" s="485"/>
      <c r="AA62" s="485"/>
      <c r="AB62" s="485"/>
      <c r="AC62" s="485"/>
      <c r="AD62" s="485"/>
      <c r="AE62" s="485"/>
    </row>
    <row r="63" spans="1:31" ht="12.75" customHeight="1">
      <c r="B63" s="621" t="s">
        <v>319</v>
      </c>
      <c r="C63" s="621"/>
      <c r="D63" s="621"/>
      <c r="E63" s="621"/>
      <c r="F63" s="621"/>
      <c r="G63" s="621"/>
      <c r="H63" s="621"/>
      <c r="I63" s="621"/>
      <c r="J63" s="621"/>
      <c r="K63" s="621"/>
      <c r="L63" s="621"/>
      <c r="M63" s="621"/>
      <c r="N63" s="621"/>
      <c r="O63" s="621"/>
      <c r="P63" s="102"/>
    </row>
    <row r="64" spans="1:31" ht="12.75" customHeight="1">
      <c r="B64" s="621"/>
      <c r="C64" s="621"/>
      <c r="D64" s="621"/>
      <c r="E64" s="621"/>
      <c r="F64" s="621"/>
      <c r="G64" s="621"/>
      <c r="H64" s="621"/>
      <c r="I64" s="621"/>
      <c r="J64" s="621"/>
      <c r="K64" s="621"/>
      <c r="L64" s="621"/>
      <c r="M64" s="621"/>
      <c r="N64" s="621"/>
      <c r="O64" s="621"/>
      <c r="P64" s="102"/>
    </row>
    <row r="65" spans="1:26" ht="12.75" customHeight="1">
      <c r="B65" s="621"/>
      <c r="C65" s="621"/>
      <c r="D65" s="621"/>
      <c r="E65" s="621"/>
      <c r="F65" s="621"/>
      <c r="G65" s="621"/>
      <c r="H65" s="621"/>
      <c r="I65" s="621"/>
      <c r="J65" s="621"/>
      <c r="K65" s="621"/>
      <c r="L65" s="621"/>
      <c r="M65" s="621"/>
      <c r="N65" s="621"/>
      <c r="O65" s="621"/>
      <c r="P65" s="102"/>
    </row>
    <row r="66" spans="1:26" ht="12.75" customHeight="1">
      <c r="B66" s="621"/>
      <c r="C66" s="621"/>
      <c r="D66" s="621"/>
      <c r="E66" s="621"/>
      <c r="F66" s="621"/>
      <c r="G66" s="621"/>
      <c r="H66" s="621"/>
      <c r="I66" s="621"/>
      <c r="J66" s="621"/>
      <c r="K66" s="621"/>
      <c r="L66" s="621"/>
      <c r="M66" s="621"/>
      <c r="N66" s="621"/>
      <c r="O66" s="621"/>
      <c r="P66" s="102"/>
    </row>
    <row r="67" spans="1:26" ht="12.75" customHeight="1">
      <c r="B67" s="621"/>
      <c r="C67" s="621"/>
      <c r="D67" s="621"/>
      <c r="E67" s="621"/>
      <c r="F67" s="621"/>
      <c r="G67" s="621"/>
      <c r="H67" s="621"/>
      <c r="I67" s="621"/>
      <c r="J67" s="621"/>
      <c r="K67" s="621"/>
      <c r="L67" s="621"/>
      <c r="M67" s="621"/>
      <c r="N67" s="621"/>
      <c r="O67" s="621"/>
      <c r="P67" s="102"/>
    </row>
    <row r="68" spans="1:26" ht="18" customHeight="1">
      <c r="B68" s="621"/>
      <c r="C68" s="621"/>
      <c r="D68" s="621"/>
      <c r="E68" s="621"/>
      <c r="F68" s="621"/>
      <c r="G68" s="621"/>
      <c r="H68" s="621"/>
      <c r="I68" s="621"/>
      <c r="J68" s="621"/>
      <c r="K68" s="621"/>
      <c r="L68" s="621"/>
      <c r="M68" s="621"/>
      <c r="N68" s="621"/>
      <c r="O68" s="621"/>
      <c r="P68" s="102"/>
    </row>
    <row r="69" spans="1:26" ht="12.75" customHeight="1">
      <c r="B69" s="103"/>
      <c r="C69" s="103"/>
      <c r="D69" s="103"/>
      <c r="E69" s="103"/>
      <c r="F69" s="103"/>
      <c r="G69" s="103"/>
      <c r="H69" s="103"/>
      <c r="I69" s="103"/>
      <c r="J69" s="103"/>
      <c r="K69" s="103"/>
      <c r="L69" s="103"/>
      <c r="M69" s="103"/>
      <c r="N69" s="103"/>
      <c r="O69" s="103"/>
      <c r="P69" s="102"/>
    </row>
    <row r="70" spans="1:26" ht="12.75">
      <c r="B70" s="483" t="s">
        <v>320</v>
      </c>
      <c r="C70" s="483"/>
      <c r="D70" s="483"/>
      <c r="E70" s="483"/>
      <c r="F70" s="483"/>
      <c r="G70" s="483"/>
      <c r="H70"/>
      <c r="M70" s="2"/>
      <c r="N70" s="104"/>
      <c r="V70" s="105"/>
      <c r="W70" s="105"/>
      <c r="X70" s="105"/>
      <c r="Y70" s="105"/>
      <c r="Z70" s="105"/>
    </row>
    <row r="71" spans="1:26" ht="12.75" customHeight="1">
      <c r="B71"/>
      <c r="C71"/>
      <c r="D71"/>
      <c r="E71" s="2"/>
      <c r="F71" s="106" t="s">
        <v>267</v>
      </c>
      <c r="G71" s="393" t="s">
        <v>266</v>
      </c>
      <c r="H71" s="107"/>
      <c r="M71" s="2"/>
      <c r="N71" s="104"/>
      <c r="R71" s="2"/>
    </row>
    <row r="72" spans="1:26" ht="12.75">
      <c r="B72" t="s">
        <v>321</v>
      </c>
      <c r="C72"/>
      <c r="D72"/>
      <c r="E72" s="108"/>
      <c r="F72" s="450">
        <f>NonAOIStudCntK3*0.06</f>
        <v>0</v>
      </c>
      <c r="G72" s="109">
        <f>NonAOIStudCntK3Read*0.04</f>
        <v>0</v>
      </c>
      <c r="H72" s="110"/>
      <c r="N72" s="111"/>
      <c r="R72" s="108"/>
    </row>
    <row r="73" spans="1:26" ht="12.75" customHeight="1">
      <c r="B73" t="s">
        <v>322</v>
      </c>
      <c r="C73"/>
      <c r="D73"/>
      <c r="E73" s="108"/>
      <c r="F73" s="450">
        <f>AOIFTStudCntK3*0.06*0.95</f>
        <v>0</v>
      </c>
      <c r="G73" s="109">
        <f>AOIFTStudCntK3Read*0.04*0.95</f>
        <v>0</v>
      </c>
      <c r="H73" s="110"/>
      <c r="M73" s="2"/>
      <c r="N73" s="104"/>
      <c r="Q73"/>
      <c r="R73" s="108"/>
    </row>
    <row r="74" spans="1:26" ht="12.75" customHeight="1">
      <c r="B74" t="s">
        <v>323</v>
      </c>
      <c r="C74" s="112"/>
      <c r="D74" s="112"/>
      <c r="E74" s="108"/>
      <c r="F74" s="450">
        <f>AOIPTStudCntK3*0.06*0.85</f>
        <v>0</v>
      </c>
      <c r="G74" s="109">
        <f>AOIPTStudCntK3Read*0.04*0.85</f>
        <v>0</v>
      </c>
      <c r="H74" s="110"/>
      <c r="I74"/>
      <c r="L74" t="s">
        <v>267</v>
      </c>
      <c r="M74" s="113" t="s">
        <v>6</v>
      </c>
      <c r="N74" s="114">
        <f>'BSA55'!H50*F75</f>
        <v>0</v>
      </c>
      <c r="Q74" s="2"/>
      <c r="R74" s="108"/>
    </row>
    <row r="75" spans="1:26" ht="12.75">
      <c r="B75" t="s">
        <v>222</v>
      </c>
      <c r="C75" s="112"/>
      <c r="D75" s="112"/>
      <c r="E75" s="108"/>
      <c r="F75" s="449">
        <f>SUM(F72:F74)</f>
        <v>0</v>
      </c>
      <c r="G75" s="109">
        <f>SUM(G72:G74)</f>
        <v>0</v>
      </c>
      <c r="H75" s="110"/>
      <c r="I75"/>
      <c r="L75" t="s">
        <v>266</v>
      </c>
      <c r="M75" s="113" t="s">
        <v>6</v>
      </c>
      <c r="N75" s="115">
        <f>'BSA55'!H50*G75</f>
        <v>0</v>
      </c>
      <c r="P75"/>
      <c r="Q75" s="108"/>
      <c r="R75" s="108"/>
    </row>
    <row r="76" spans="1:26" ht="12.75" customHeight="1">
      <c r="B76" s="112"/>
      <c r="C76" s="112"/>
      <c r="D76" s="112"/>
      <c r="E76"/>
      <c r="F76" s="112"/>
      <c r="G76" s="112"/>
      <c r="H76" s="112"/>
      <c r="I76"/>
      <c r="M76" s="2"/>
      <c r="N76" s="104"/>
      <c r="P76"/>
      <c r="Q76" s="108"/>
    </row>
    <row r="77" spans="1:26" ht="12.75" customHeight="1">
      <c r="A77" s="116"/>
      <c r="B77" s="620" t="s">
        <v>324</v>
      </c>
      <c r="C77" s="620"/>
      <c r="D77" s="620"/>
      <c r="E77" s="620"/>
      <c r="F77" s="620"/>
      <c r="G77" s="620"/>
      <c r="H77" s="112"/>
      <c r="I77"/>
      <c r="M77" s="2"/>
      <c r="N77" s="104"/>
      <c r="P77"/>
      <c r="Q77" s="108"/>
    </row>
    <row r="78" spans="1:26" ht="12.75">
      <c r="A78" s="117"/>
      <c r="B78" s="620"/>
      <c r="C78" s="620"/>
      <c r="D78" s="620"/>
      <c r="E78" s="620"/>
      <c r="F78" s="620"/>
      <c r="G78" s="620"/>
      <c r="H78"/>
      <c r="I78"/>
      <c r="M78" s="2"/>
      <c r="N78" s="104"/>
      <c r="P78"/>
      <c r="Q78" s="108"/>
    </row>
    <row r="79" spans="1:26" ht="12.75" customHeight="1">
      <c r="A79" s="117"/>
      <c r="B79" s="117"/>
      <c r="C79" s="117"/>
      <c r="M79" s="118"/>
      <c r="N79" s="119"/>
      <c r="P79" s="510"/>
      <c r="Q79" s="510"/>
      <c r="R79" s="510"/>
    </row>
    <row r="80" spans="1:26" ht="12.75" customHeight="1">
      <c r="A80" s="117"/>
      <c r="B80" s="117"/>
      <c r="C80" s="117"/>
      <c r="D80"/>
      <c r="F80" s="390"/>
      <c r="G80"/>
      <c r="H80"/>
      <c r="I80"/>
      <c r="L80"/>
      <c r="M80" s="2"/>
      <c r="N80" s="120"/>
      <c r="P80" s="510"/>
      <c r="Q80" s="510"/>
      <c r="R80" s="510"/>
    </row>
    <row r="81" spans="1:25" ht="12.75">
      <c r="A81" s="117"/>
      <c r="B81" s="117"/>
      <c r="C81" s="117"/>
      <c r="L81"/>
      <c r="M81" s="2"/>
      <c r="N81" s="120"/>
      <c r="P81" s="397"/>
      <c r="Q81" s="397"/>
      <c r="R81" s="397"/>
    </row>
    <row r="82" spans="1:25" ht="12.7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22"/>
      <c r="Y89" s="622"/>
    </row>
    <row r="90" spans="1:25" s="435" customFormat="1">
      <c r="A90" s="38"/>
      <c r="B90" s="38"/>
      <c r="C90" s="38"/>
      <c r="D90" s="38"/>
      <c r="E90" s="38"/>
      <c r="F90" s="38"/>
      <c r="G90" s="38"/>
      <c r="H90" s="38"/>
      <c r="I90" s="38"/>
      <c r="J90" s="38"/>
      <c r="K90" s="38"/>
      <c r="L90" s="38"/>
      <c r="M90" s="38"/>
      <c r="N90" s="38"/>
      <c r="O90" s="38"/>
    </row>
  </sheetData>
  <sheetProtection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3c663f5c5ef46ef7d356c861a8b438f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184ef7825de702f0538f4807e7a8ae78"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BBB4F38B-0799-4886-B61C-8DBB46B47F73}">
  <ds:schemaRefs>
    <ds:schemaRef ds:uri="http://schemas.microsoft.com/office/2006/documentManagement/types"/>
    <ds:schemaRef ds:uri="ffcdc2e4-c8f2-4bf7-ab1d-ea300bde3fd8"/>
    <ds:schemaRef ds:uri="8385876d-3ffd-449d-b709-a8df02b96ae7"/>
    <ds:schemaRef ds:uri="http://schemas.microsoft.com/office/infopath/2007/PartnerControls"/>
    <ds:schemaRef ds:uri="http://purl.org/dc/elements/1.1/"/>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CF626EE-0146-4243-A3D9-2B2089103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321</vt:i4>
      </vt:variant>
    </vt:vector>
  </HeadingPairs>
  <TitlesOfParts>
    <vt:vector size="332"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ProjectBalancesLine2c</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Katie Celaya</cp:lastModifiedBy>
  <cp:lastPrinted>2026-05-21T12:12:36Z</cp:lastPrinted>
  <dcterms:created xsi:type="dcterms:W3CDTF">1997-10-06T01:25:08Z</dcterms:created>
  <dcterms:modified xsi:type="dcterms:W3CDTF">2026-06-30T13:56:12Z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0x0101001070CC293A09E046BE89913D5D7A0855</vt:lpwstr>
  </property>
  <property fmtid="{D5CDD505-2E9C-101B-9397-08002B2CF9AE}" pid="7" name="ADEGUID">
    <vt:lpwstr>28A5E202-5DE1-47E4-A6D1-78D41F3A7C75</vt:lpwstr>
  </property>
  <property fmtid="{D5CDD505-2E9C-101B-9397-08002B2CF9AE}" pid="8" name="MediaServiceImageTags">
    <vt:lpwstr/>
  </property>
</Properties>
</file>